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semi-my.sharepoint.com/personal/zbngcp_onsemi_com/Documents/Desktop/NCP81418 Stuff/WPP APPS Files/Design Calculator/"/>
    </mc:Choice>
  </mc:AlternateContent>
  <xr:revisionPtr revIDLastSave="25" documentId="8_{34BB696A-377A-40C7-9029-3B597FF937A0}" xr6:coauthVersionLast="47" xr6:coauthVersionMax="47" xr10:uidLastSave="{93426FDF-1987-4386-A23C-87F3322CCE73}"/>
  <workbookProtection workbookAlgorithmName="SHA-512" workbookHashValue="MlU/KmRI5Ohfv7NjJtmeRYXHgk9VE4dsvGmR83kuf65A3sNSR7DyLizCpv8UXXUe503eRoclYEput9yuOCdJ9g==" workbookSaltValue="K+ASOgGQXoN7IdceID98Xw==" workbookSpinCount="100000" lockStructure="1"/>
  <bookViews>
    <workbookView xWindow="38280" yWindow="1260" windowWidth="29040" windowHeight="17520" tabRatio="763" xr2:uid="{00000000-000D-0000-FFFF-FFFF00000000}"/>
  </bookViews>
  <sheets>
    <sheet name="Front" sheetId="1" r:id="rId1"/>
    <sheet name="Calcs" sheetId="2" state="hidden" r:id="rId2"/>
  </sheets>
  <definedNames>
    <definedName name="AVSS">Calcs!$Q$17</definedName>
    <definedName name="AVSS_hi">Calcs!$Q$18</definedName>
    <definedName name="AVSS_lo">Calcs!$Q$16</definedName>
    <definedName name="Cout">Calcs!$B$12</definedName>
    <definedName name="Css">Calcs!$B$15</definedName>
    <definedName name="ICL_lo">Calcs!$B$30</definedName>
    <definedName name="Idc">Calcs!$B$10</definedName>
    <definedName name="Ipk">Calcs!$B$11</definedName>
    <definedName name="Iq">Calcs!$Q$10</definedName>
    <definedName name="ISR">Calcs!$Q$9</definedName>
    <definedName name="Iss">Calcs!$Q$13</definedName>
    <definedName name="Iss_hi">Calcs!$Q$14</definedName>
    <definedName name="Iss_lo">Calcs!$Q$12</definedName>
    <definedName name="Np">Calcs!$B$14</definedName>
    <definedName name="Nr">Calcs!$B$23</definedName>
    <definedName name="Piq">Calcs!$B$51</definedName>
    <definedName name="Rds0">Calcs!$Q$24</definedName>
    <definedName name="RdsM">Calcs!$Q$23</definedName>
    <definedName name="RTjb">Calcs!$Q$26</definedName>
    <definedName name="SS_TO">Calcs!$B$42</definedName>
    <definedName name="Ta">Calcs!$B$13</definedName>
    <definedName name="Ta_max">Calcs!$B$66</definedName>
    <definedName name="Tss_TO">Calcs!$Q$29</definedName>
    <definedName name="Tss_TO_lo">Calcs!$Q$28</definedName>
    <definedName name="Vin">Calcs!$B$9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2" l="1"/>
  <c r="Q23" i="2" l="1"/>
  <c r="Q24" i="2"/>
  <c r="V44" i="2"/>
  <c r="W44" i="2" s="1"/>
  <c r="V43" i="2"/>
  <c r="W43" i="2" s="1"/>
  <c r="V42" i="2"/>
  <c r="W42" i="2" s="1"/>
  <c r="V41" i="2"/>
  <c r="W41" i="2" s="1"/>
  <c r="V40" i="2"/>
  <c r="W40" i="2" s="1"/>
  <c r="V39" i="2"/>
  <c r="W39" i="2" s="1"/>
  <c r="B15" i="2" l="1"/>
  <c r="B13" i="2"/>
  <c r="B52" i="2" s="1"/>
  <c r="B14" i="2" l="1"/>
  <c r="B11" i="2"/>
  <c r="B22" i="2" s="1"/>
  <c r="B12" i="2"/>
  <c r="B10" i="2"/>
  <c r="B9" i="2"/>
  <c r="B51" i="2" l="1"/>
  <c r="B65" i="2" s="1"/>
  <c r="B66" i="2" s="1"/>
  <c r="B41" i="2"/>
  <c r="B42" i="2" s="1"/>
  <c r="G26" i="1" s="1"/>
  <c r="B40" i="2"/>
  <c r="B45" i="2" s="1"/>
  <c r="B39" i="2"/>
  <c r="B44" i="2" s="1"/>
  <c r="B29" i="2"/>
  <c r="B30" i="2" s="1"/>
  <c r="B33" i="2" s="1"/>
  <c r="B21" i="2"/>
  <c r="B23" i="2" s="1"/>
  <c r="D22" i="1" s="1"/>
  <c r="B53" i="2" l="1"/>
  <c r="B54" i="2" s="1"/>
  <c r="B55" i="2" s="1"/>
  <c r="B56" i="2" s="1"/>
  <c r="B57" i="2" s="1"/>
  <c r="B58" i="2" s="1"/>
  <c r="B62" i="2" s="1"/>
  <c r="D38" i="1" s="1"/>
  <c r="D28" i="1"/>
  <c r="D27" i="1"/>
  <c r="D30" i="1"/>
  <c r="D29" i="1"/>
  <c r="B34" i="2"/>
  <c r="B35" i="2" s="1"/>
  <c r="B36" i="2" s="1"/>
  <c r="D25" i="1" s="1"/>
  <c r="B59" i="2" l="1"/>
  <c r="D35" i="1" s="1"/>
  <c r="B60" i="2" l="1"/>
  <c r="D37" i="1" s="1"/>
  <c r="D36" i="1" l="1"/>
</calcChain>
</file>

<file path=xl/sharedStrings.xml><?xml version="1.0" encoding="utf-8"?>
<sst xmlns="http://schemas.openxmlformats.org/spreadsheetml/2006/main" count="201" uniqueCount="154">
  <si>
    <t>Value</t>
  </si>
  <si>
    <t>Unit</t>
  </si>
  <si>
    <t>V</t>
  </si>
  <si>
    <t>A</t>
  </si>
  <si>
    <t>PMBus with Telemetry</t>
  </si>
  <si>
    <t>Requires PMBus interface with VIN, IIN, VOUT, IOUT, and Temp readings</t>
  </si>
  <si>
    <t>Phases</t>
  </si>
  <si>
    <t>(A)</t>
  </si>
  <si>
    <t>No</t>
  </si>
  <si>
    <t>uF</t>
  </si>
  <si>
    <t>Cout</t>
  </si>
  <si>
    <t>W</t>
  </si>
  <si>
    <t>N</t>
  </si>
  <si>
    <t>Item</t>
  </si>
  <si>
    <t xml:space="preserve">   Disclaimer</t>
  </si>
  <si>
    <t xml:space="preserve">   This spreadsheet is a general tool being provided to assist power system designers. 
</t>
  </si>
  <si>
    <t xml:space="preserve">   The output of this tool is to be used as a guideline and does not provide/ensure any measure of the success of a particular system design.</t>
  </si>
  <si>
    <t>Coming from Front page:</t>
  </si>
  <si>
    <t>(V)</t>
  </si>
  <si>
    <t>Vin</t>
  </si>
  <si>
    <t>TDC RMS current</t>
  </si>
  <si>
    <t>peak current</t>
  </si>
  <si>
    <t>(F)</t>
  </si>
  <si>
    <t>(oC)</t>
  </si>
  <si>
    <t>PCB temp</t>
  </si>
  <si>
    <t>DC</t>
  </si>
  <si>
    <t>Peak</t>
  </si>
  <si>
    <t>recommended # of e-fuse</t>
  </si>
  <si>
    <t>How Many E-Fuses ?</t>
  </si>
  <si>
    <t>Compute Css to avoid CL during start-up</t>
  </si>
  <si>
    <t>(N)</t>
  </si>
  <si>
    <r>
      <rPr>
        <b/>
        <sz val="11"/>
        <color rgb="FF7030A0"/>
        <rFont val="Calibri"/>
        <family val="2"/>
        <scheme val="minor"/>
      </rPr>
      <t>violet</t>
    </r>
    <r>
      <rPr>
        <sz val="11"/>
        <color rgb="FF000000"/>
        <rFont val="Calibri"/>
        <family val="2"/>
        <scheme val="minor"/>
      </rPr>
      <t xml:space="preserve"> text is comment</t>
    </r>
  </si>
  <si>
    <t>Tss_min</t>
  </si>
  <si>
    <t>(sec)</t>
  </si>
  <si>
    <t>min Vout SS time to avoid hitting CL</t>
  </si>
  <si>
    <r>
      <rPr>
        <sz val="11"/>
        <color rgb="FF000000"/>
        <rFont val="Symbol"/>
        <family val="1"/>
        <charset val="2"/>
      </rPr>
      <t>D</t>
    </r>
    <r>
      <rPr>
        <sz val="11"/>
        <color rgb="FF000000"/>
        <rFont val="Calibri"/>
        <family val="2"/>
        <scheme val="minor"/>
      </rPr>
      <t>Vout/dt</t>
    </r>
  </si>
  <si>
    <t>(V/sec)</t>
  </si>
  <si>
    <r>
      <rPr>
        <sz val="11"/>
        <color rgb="FF000000"/>
        <rFont val="Symbol"/>
        <family val="1"/>
        <charset val="2"/>
      </rPr>
      <t>D</t>
    </r>
    <r>
      <rPr>
        <sz val="11"/>
        <color rgb="FF000000"/>
        <rFont val="Calibri"/>
        <family val="2"/>
        <scheme val="minor"/>
      </rPr>
      <t>Vss/dt</t>
    </r>
  </si>
  <si>
    <t>uses maximum SS gain - gives lowest SS slope</t>
  </si>
  <si>
    <t>Css</t>
  </si>
  <si>
    <t>uses maximum SS pin current</t>
  </si>
  <si>
    <t xml:space="preserve"> Input Voltage</t>
  </si>
  <si>
    <t xml:space="preserve"> Maximum Continuous Load Current (TDC or RMS)</t>
  </si>
  <si>
    <t xml:space="preserve"> Peak Instantaneous Load Current</t>
  </si>
  <si>
    <t xml:space="preserve"> Device Mounting Surface (PCB) Temperature</t>
  </si>
  <si>
    <t xml:space="preserve"> User Input Value</t>
  </si>
  <si>
    <t xml:space="preserve"> Calculated Value</t>
  </si>
  <si>
    <t xml:space="preserve"> Error (Outside Limits)</t>
  </si>
  <si>
    <t xml:space="preserve">   Design Tartget Information</t>
  </si>
  <si>
    <t xml:space="preserve">   Component Selection</t>
  </si>
  <si>
    <t xml:space="preserve">   Dissipation / Temperature Rise</t>
  </si>
  <si>
    <r>
      <rPr>
        <vertAlign val="superscript"/>
        <sz val="12"/>
        <color rgb="FF000000"/>
        <rFont val="Times New Roman"/>
        <family val="1"/>
      </rPr>
      <t>o</t>
    </r>
    <r>
      <rPr>
        <sz val="12"/>
        <color rgb="FF000000"/>
        <rFont val="Times New Roman"/>
        <family val="1"/>
      </rPr>
      <t>C</t>
    </r>
  </si>
  <si>
    <t>number phases implemented</t>
  </si>
  <si>
    <t xml:space="preserve">   Copyright © 2023, Semiconductor Component Industries, LLC.</t>
  </si>
  <si>
    <r>
      <rPr>
        <b/>
        <sz val="11"/>
        <color rgb="FF0000FF"/>
        <rFont val="Calibri"/>
        <family val="2"/>
        <scheme val="minor"/>
      </rPr>
      <t>blue</t>
    </r>
    <r>
      <rPr>
        <b/>
        <sz val="11"/>
        <color rgb="FF00B05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results link to Front page</t>
    </r>
  </si>
  <si>
    <t>nF</t>
  </si>
  <si>
    <r>
      <t xml:space="preserve"> Maximum Output Capcaitance (C</t>
    </r>
    <r>
      <rPr>
        <vertAlign val="subscript"/>
        <sz val="12"/>
        <color theme="1"/>
        <rFont val="Times New Roman"/>
        <family val="1"/>
      </rPr>
      <t>OUT</t>
    </r>
    <r>
      <rPr>
        <sz val="12"/>
        <color theme="1"/>
        <rFont val="Times New Roman"/>
        <family val="1"/>
      </rPr>
      <t xml:space="preserve">) </t>
    </r>
  </si>
  <si>
    <t>Assumes symmetrical layout - no impact to per phase current balance</t>
  </si>
  <si>
    <t>Ics_lo_min</t>
  </si>
  <si>
    <t>user Css</t>
  </si>
  <si>
    <t>msec</t>
  </si>
  <si>
    <t>Inrush</t>
  </si>
  <si>
    <r>
      <t xml:space="preserve"> Start-Up Inrush Current (nominal T</t>
    </r>
    <r>
      <rPr>
        <vertAlign val="subscript"/>
        <sz val="12"/>
        <rFont val="Times New Roman"/>
        <family val="1"/>
      </rPr>
      <t>SS</t>
    </r>
    <r>
      <rPr>
        <sz val="12"/>
        <rFont val="Times New Roman"/>
        <family val="1"/>
      </rPr>
      <t>)</t>
    </r>
  </si>
  <si>
    <r>
      <t>V</t>
    </r>
    <r>
      <rPr>
        <vertAlign val="subscript"/>
        <sz val="12"/>
        <color rgb="FF000000"/>
        <rFont val="Times New Roman"/>
        <family val="1"/>
      </rPr>
      <t>IN</t>
    </r>
  </si>
  <si>
    <r>
      <t>I</t>
    </r>
    <r>
      <rPr>
        <vertAlign val="subscript"/>
        <sz val="12"/>
        <color theme="1"/>
        <rFont val="Times New Roman"/>
        <family val="1"/>
      </rPr>
      <t>TDC</t>
    </r>
  </si>
  <si>
    <r>
      <t>I</t>
    </r>
    <r>
      <rPr>
        <vertAlign val="subscript"/>
        <sz val="12"/>
        <color theme="1"/>
        <rFont val="Times New Roman"/>
        <family val="1"/>
      </rPr>
      <t>PK</t>
    </r>
  </si>
  <si>
    <r>
      <t>C</t>
    </r>
    <r>
      <rPr>
        <vertAlign val="subscript"/>
        <sz val="12"/>
        <color rgb="FF000000"/>
        <rFont val="Times New Roman"/>
        <family val="1"/>
      </rPr>
      <t>OUT</t>
    </r>
  </si>
  <si>
    <r>
      <t>T</t>
    </r>
    <r>
      <rPr>
        <vertAlign val="subscript"/>
        <sz val="12"/>
        <color rgb="FF000000"/>
        <rFont val="Times New Roman"/>
        <family val="1"/>
      </rPr>
      <t>AMB</t>
    </r>
  </si>
  <si>
    <r>
      <t>C</t>
    </r>
    <r>
      <rPr>
        <vertAlign val="subscript"/>
        <sz val="12"/>
        <rFont val="Times New Roman"/>
        <family val="1"/>
      </rPr>
      <t>SS</t>
    </r>
  </si>
  <si>
    <r>
      <t>T</t>
    </r>
    <r>
      <rPr>
        <vertAlign val="subscript"/>
        <sz val="12"/>
        <rFont val="Times New Roman"/>
        <family val="1"/>
      </rPr>
      <t>SS</t>
    </r>
  </si>
  <si>
    <r>
      <rPr>
        <vertAlign val="superscript"/>
        <sz val="12"/>
        <rFont val="Times New Roman"/>
        <family val="1"/>
      </rPr>
      <t>o</t>
    </r>
    <r>
      <rPr>
        <sz val="12"/>
        <rFont val="Times New Roman"/>
        <family val="1"/>
      </rPr>
      <t>C</t>
    </r>
  </si>
  <si>
    <t xml:space="preserve"> Smart-Fuse Power Dissipation (TDC)</t>
  </si>
  <si>
    <t xml:space="preserve"> Smart-Fuse Temperature Rise (TDC)</t>
  </si>
  <si>
    <t xml:space="preserve"> Smart-Fuse Junction Temperature (TDC)</t>
  </si>
  <si>
    <t>(W)</t>
  </si>
  <si>
    <t>(C/W)</t>
  </si>
  <si>
    <t>nominal SS time, user Css</t>
  </si>
  <si>
    <t xml:space="preserve"> Nominal Soft-Start Ramp Time </t>
  </si>
  <si>
    <t xml:space="preserve"> Minimum Soft-Start Ramp Time</t>
  </si>
  <si>
    <t>8A, Vgs=10V</t>
  </si>
  <si>
    <t>Temp</t>
  </si>
  <si>
    <t>mean</t>
  </si>
  <si>
    <t>sigma</t>
  </si>
  <si>
    <t>max</t>
  </si>
  <si>
    <t>all values uOhms</t>
  </si>
  <si>
    <t>fit</t>
  </si>
  <si>
    <t>err</t>
  </si>
  <si>
    <t>slope</t>
  </si>
  <si>
    <t>offset</t>
  </si>
  <si>
    <r>
      <t>Rds = 2.08 T + 636 (u</t>
    </r>
    <r>
      <rPr>
        <b/>
        <sz val="11"/>
        <color rgb="FF7030A0"/>
        <rFont val="Symbol"/>
        <family val="1"/>
        <charset val="2"/>
      </rPr>
      <t>W</t>
    </r>
    <r>
      <rPr>
        <b/>
        <sz val="11"/>
        <color rgb="FF7030A0"/>
        <rFont val="文泉驿点阵正黑"/>
        <family val="2"/>
        <charset val="1"/>
      </rPr>
      <t>)</t>
    </r>
  </si>
  <si>
    <r>
      <t xml:space="preserve"> Start-Up Inrush Current (minimum T</t>
    </r>
    <r>
      <rPr>
        <vertAlign val="subscript"/>
        <sz val="12"/>
        <rFont val="Times New Roman"/>
        <family val="1"/>
      </rPr>
      <t>SS</t>
    </r>
    <r>
      <rPr>
        <sz val="12"/>
        <rFont val="Times New Roman"/>
        <family val="1"/>
      </rPr>
      <t>)</t>
    </r>
  </si>
  <si>
    <t>inrush, nom SS time</t>
  </si>
  <si>
    <t>inrush, min SS time</t>
  </si>
  <si>
    <t>minimum SS time, user Css</t>
  </si>
  <si>
    <t>Dissipation / Temp rise</t>
  </si>
  <si>
    <t>IC overhead</t>
  </si>
  <si>
    <t>initial Rds (at Ta)</t>
  </si>
  <si>
    <r>
      <t>(u</t>
    </r>
    <r>
      <rPr>
        <sz val="11"/>
        <color rgb="FF000000"/>
        <rFont val="Symbol"/>
        <family val="1"/>
        <charset val="2"/>
      </rPr>
      <t>W</t>
    </r>
    <r>
      <rPr>
        <sz val="11"/>
        <color rgb="FF000000"/>
        <rFont val="Calibri"/>
        <family val="2"/>
        <scheme val="minor"/>
      </rPr>
      <t>)</t>
    </r>
  </si>
  <si>
    <t>Initial Dissipation</t>
  </si>
  <si>
    <t>Initial junction temp</t>
  </si>
  <si>
    <t>Adjusted Rds (at Tj)</t>
  </si>
  <si>
    <t>Adjusted Dissipation</t>
  </si>
  <si>
    <t>adjusted junction temp</t>
  </si>
  <si>
    <t>Dissipation</t>
  </si>
  <si>
    <t>Tj</t>
  </si>
  <si>
    <t>Rds</t>
  </si>
  <si>
    <t>maximum SS time, user Css</t>
  </si>
  <si>
    <t>single phase: takes 10% margin for overshoot</t>
  </si>
  <si>
    <t>uses minimum CL value, adjusts for Vin level</t>
  </si>
  <si>
    <t>(A/A)</t>
  </si>
  <si>
    <t>Iq</t>
  </si>
  <si>
    <t>Css current, min</t>
  </si>
  <si>
    <t>Css current, typ</t>
  </si>
  <si>
    <t>Css current, max</t>
  </si>
  <si>
    <t>SS gain, min</t>
  </si>
  <si>
    <t>(V/V)</t>
  </si>
  <si>
    <t>SS gain, typ</t>
  </si>
  <si>
    <t>SS gain, max</t>
  </si>
  <si>
    <t>Ics_lo_min, Vin&lt;13.2</t>
  </si>
  <si>
    <t>multii-phase: 10% margin for overshoot, minus 1.5A (&lt;1.5A sharing difference per sims)</t>
  </si>
  <si>
    <r>
      <t>Variables</t>
    </r>
    <r>
      <rPr>
        <sz val="11"/>
        <color rgb="FF000000"/>
        <rFont val="Calibri"/>
        <family val="2"/>
        <scheme val="minor"/>
      </rPr>
      <t xml:space="preserve"> (from datasheet)</t>
    </r>
  </si>
  <si>
    <r>
      <t>Ics_lo_min, Vin</t>
    </r>
    <r>
      <rPr>
        <u/>
        <sz val="11"/>
        <color rgb="FF000000"/>
        <rFont val="Calibri"/>
        <family val="2"/>
        <scheme val="minor"/>
      </rPr>
      <t>&gt;</t>
    </r>
    <r>
      <rPr>
        <sz val="11"/>
        <color rgb="FF000000"/>
        <rFont val="Calibri"/>
        <family val="2"/>
        <scheme val="minor"/>
      </rPr>
      <t>13.2</t>
    </r>
  </si>
  <si>
    <r>
      <rPr>
        <b/>
        <sz val="11"/>
        <color rgb="FF000000"/>
        <rFont val="Calibri"/>
        <family val="2"/>
        <scheme val="minor"/>
      </rPr>
      <t>FET data</t>
    </r>
    <r>
      <rPr>
        <sz val="11"/>
        <color rgb="FF000000"/>
        <rFont val="Calibri"/>
        <family val="2"/>
        <scheme val="minor"/>
      </rPr>
      <t xml:space="preserve"> (from char)</t>
    </r>
  </si>
  <si>
    <t>min CL threshold/phase</t>
  </si>
  <si>
    <r>
      <t xml:space="preserve">Assumes </t>
    </r>
    <r>
      <rPr>
        <b/>
        <sz val="11"/>
        <color rgb="FF7030A0"/>
        <rFont val="Calibri"/>
        <family val="2"/>
        <scheme val="minor"/>
      </rPr>
      <t>no load during SS</t>
    </r>
    <r>
      <rPr>
        <sz val="11"/>
        <color rgb="FF7030A0"/>
        <rFont val="Calibri"/>
        <family val="2"/>
        <scheme val="minor"/>
      </rPr>
      <t xml:space="preserve"> - only COUT displacement current</t>
    </r>
  </si>
  <si>
    <t>Rds slope</t>
  </si>
  <si>
    <r>
      <t>(u</t>
    </r>
    <r>
      <rPr>
        <sz val="11"/>
        <color rgb="FF000000"/>
        <rFont val="Symbol"/>
        <family val="1"/>
        <charset val="2"/>
      </rPr>
      <t>W</t>
    </r>
    <r>
      <rPr>
        <sz val="11"/>
        <color rgb="FF000000"/>
        <rFont val="Calibri"/>
        <family val="2"/>
        <scheme val="minor"/>
      </rPr>
      <t>/C)</t>
    </r>
  </si>
  <si>
    <t>Rds offset</t>
  </si>
  <si>
    <t>thermal resistance, J-B</t>
  </si>
  <si>
    <t>accounts for Iq and sense current</t>
  </si>
  <si>
    <t>(msec)</t>
  </si>
  <si>
    <t>Tss time-out fault, min</t>
  </si>
  <si>
    <t>Tss time-out fault, typ</t>
  </si>
  <si>
    <t xml:space="preserve">             curve fit below</t>
  </si>
  <si>
    <t xml:space="preserve">Iq plus sense ratio </t>
  </si>
  <si>
    <t>current sense ratio (from char data, way below)</t>
  </si>
  <si>
    <t>Ta_max</t>
  </si>
  <si>
    <t>Rds at 125C</t>
  </si>
  <si>
    <t>125C dissipation</t>
  </si>
  <si>
    <t>used by front page for conditional formatting</t>
  </si>
  <si>
    <r>
      <t>P</t>
    </r>
    <r>
      <rPr>
        <vertAlign val="subscript"/>
        <sz val="12"/>
        <rFont val="Times New Roman"/>
        <family val="1"/>
      </rPr>
      <t>D</t>
    </r>
  </si>
  <si>
    <r>
      <rPr>
        <sz val="12"/>
        <rFont val="Symbol"/>
        <family val="1"/>
        <charset val="2"/>
      </rPr>
      <t>D</t>
    </r>
    <r>
      <rPr>
        <sz val="12"/>
        <rFont val="Times New Roman"/>
        <family val="1"/>
      </rPr>
      <t>T</t>
    </r>
  </si>
  <si>
    <r>
      <t>T</t>
    </r>
    <r>
      <rPr>
        <vertAlign val="subscript"/>
        <sz val="12"/>
        <rFont val="Times New Roman"/>
        <family val="1"/>
      </rPr>
      <t>J</t>
    </r>
  </si>
  <si>
    <t>mV</t>
  </si>
  <si>
    <r>
      <rPr>
        <sz val="12"/>
        <rFont val="Symbol"/>
        <family val="1"/>
        <charset val="2"/>
      </rPr>
      <t>D</t>
    </r>
    <r>
      <rPr>
        <sz val="12"/>
        <rFont val="Times New Roman"/>
        <family val="1"/>
      </rPr>
      <t>V</t>
    </r>
  </si>
  <si>
    <t>voltage drop (Vin-Vout)</t>
  </si>
  <si>
    <r>
      <t xml:space="preserve"> Smart-Fuse Voltage Drop (V</t>
    </r>
    <r>
      <rPr>
        <sz val="9"/>
        <rFont val="Times New Roman"/>
        <family val="1"/>
      </rPr>
      <t>IN</t>
    </r>
    <r>
      <rPr>
        <sz val="12"/>
        <rFont val="Times New Roman"/>
        <family val="1"/>
      </rPr>
      <t>-V</t>
    </r>
    <r>
      <rPr>
        <sz val="9"/>
        <rFont val="Times New Roman"/>
        <family val="1"/>
      </rPr>
      <t>OUT</t>
    </r>
    <r>
      <rPr>
        <sz val="12"/>
        <rFont val="Times New Roman"/>
        <family val="1"/>
      </rPr>
      <t xml:space="preserve"> at TDC)</t>
    </r>
  </si>
  <si>
    <t>SS Time-Out flag</t>
  </si>
  <si>
    <r>
      <t xml:space="preserve"> Recommended Minimum C</t>
    </r>
    <r>
      <rPr>
        <vertAlign val="subscript"/>
        <sz val="12"/>
        <color theme="1"/>
        <rFont val="Times New Roman"/>
        <family val="1"/>
      </rPr>
      <t>SS</t>
    </r>
    <r>
      <rPr>
        <sz val="12"/>
        <color theme="1"/>
        <rFont val="Times New Roman"/>
        <family val="1"/>
      </rPr>
      <t xml:space="preserve"> Value</t>
    </r>
  </si>
  <si>
    <r>
      <t xml:space="preserve"> User Selected C</t>
    </r>
    <r>
      <rPr>
        <vertAlign val="subscript"/>
        <sz val="12"/>
        <color theme="1"/>
        <rFont val="Times New Roman"/>
        <family val="1"/>
      </rPr>
      <t>SS</t>
    </r>
    <r>
      <rPr>
        <sz val="12"/>
        <color theme="1"/>
        <rFont val="Times New Roman"/>
        <family val="1"/>
      </rPr>
      <t xml:space="preserve"> value</t>
    </r>
  </si>
  <si>
    <t>Rev. 0</t>
  </si>
  <si>
    <t>NCP81428/NCP81428 + NCP81418  Design Aid
50A Hot-Swap Smart-Fuse</t>
  </si>
  <si>
    <t xml:space="preserve"> Recommended Number of Parallel NCP81428/NCP81428 + NCP81418 SmartFuses</t>
  </si>
  <si>
    <t xml:space="preserve"> Actual Number of Parallel NCP81428NCP81428 + NCP81418 SmartFuses Implemented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</si>
</sst>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0.000"/>
    <numFmt numFmtId="166" formatCode="0.0"/>
  </numFmts>
  <fonts count="44">
    <font>
      <sz val="11"/>
      <color rgb="FF000000"/>
      <name val="文泉驿点阵正黑"/>
      <family val="2"/>
      <charset val="1"/>
    </font>
    <font>
      <sz val="12"/>
      <color rgb="FF000000"/>
      <name val="文泉驿点阵正黑"/>
      <family val="2"/>
      <charset val="1"/>
    </font>
    <font>
      <sz val="11"/>
      <color rgb="FF3F3F76"/>
      <name val="等线"/>
      <family val="2"/>
      <charset val="1"/>
    </font>
    <font>
      <sz val="12"/>
      <color rgb="FF3F3F76"/>
      <name val="文泉驿点阵正黑"/>
      <family val="2"/>
      <charset val="1"/>
    </font>
    <font>
      <sz val="12"/>
      <color rgb="FF000000"/>
      <name val="Times New Roman"/>
      <family val="1"/>
      <charset val="1"/>
    </font>
    <font>
      <b/>
      <sz val="14"/>
      <color rgb="FFFFFFFF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</font>
    <font>
      <b/>
      <sz val="12"/>
      <color rgb="FFFFFFFF"/>
      <name val="Times New Roman"/>
      <family val="1"/>
      <charset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4"/>
      <name val="Times New Roman"/>
      <family val="1"/>
    </font>
    <font>
      <vertAlign val="subscript"/>
      <sz val="12"/>
      <color theme="1"/>
      <name val="Times New Roman"/>
      <family val="1"/>
    </font>
    <font>
      <sz val="12"/>
      <color theme="5"/>
      <name val="Times New Roman"/>
      <family val="1"/>
    </font>
    <font>
      <b/>
      <sz val="12"/>
      <color theme="4"/>
      <name val="Times New Roman"/>
      <family val="1"/>
    </font>
    <font>
      <sz val="11"/>
      <color rgb="FF000000"/>
      <name val="Symbol"/>
      <family val="1"/>
      <charset val="2"/>
    </font>
    <font>
      <vertAlign val="subscript"/>
      <sz val="12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vertAlign val="superscript"/>
      <sz val="12"/>
      <color rgb="FF000000"/>
      <name val="Times New Roman"/>
      <family val="1"/>
    </font>
    <font>
      <b/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1"/>
      <charset val="2"/>
      <scheme val="minor"/>
    </font>
    <font>
      <sz val="11"/>
      <name val="Calibri"/>
      <family val="2"/>
      <scheme val="minor"/>
    </font>
    <font>
      <b/>
      <sz val="18"/>
      <color rgb="FFFFFF00"/>
      <name val="Times New Roman"/>
      <family val="1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vertAlign val="superscript"/>
      <sz val="12"/>
      <name val="Times New Roman"/>
      <family val="1"/>
    </font>
    <font>
      <b/>
      <sz val="11"/>
      <color rgb="FF7030A0"/>
      <name val="文泉驿点阵正黑"/>
      <family val="2"/>
      <charset val="1"/>
    </font>
    <font>
      <b/>
      <sz val="11"/>
      <color rgb="FF7030A0"/>
      <name val="Symbol"/>
      <family val="1"/>
      <charset val="2"/>
    </font>
    <font>
      <u/>
      <sz val="11"/>
      <color rgb="FF000000"/>
      <name val="Calibri"/>
      <family val="2"/>
      <scheme val="minor"/>
    </font>
    <font>
      <sz val="12"/>
      <name val="Times New Roman"/>
      <family val="1"/>
      <charset val="2"/>
    </font>
    <font>
      <sz val="12"/>
      <name val="Symbol"/>
      <family val="1"/>
      <charset val="2"/>
    </font>
    <font>
      <sz val="9"/>
      <name val="Times New Roman"/>
      <family val="1"/>
    </font>
    <font>
      <sz val="11"/>
      <color theme="5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color theme="5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008080"/>
        <bgColor rgb="FF008080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rgb="FF00FFFF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2" borderId="1" applyProtection="0"/>
    <xf numFmtId="0" fontId="10" fillId="0" borderId="0"/>
  </cellStyleXfs>
  <cellXfs count="101">
    <xf numFmtId="0" fontId="0" fillId="0" borderId="0" xfId="0"/>
    <xf numFmtId="0" fontId="1" fillId="0" borderId="0" xfId="0" applyFont="1"/>
    <xf numFmtId="164" fontId="1" fillId="6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>
      <alignment horizontal="center"/>
    </xf>
    <xf numFmtId="0" fontId="12" fillId="9" borderId="4" xfId="2" applyFont="1" applyFill="1" applyBorder="1" applyAlignment="1" applyProtection="1">
      <alignment horizontal="center"/>
      <protection hidden="1"/>
    </xf>
    <xf numFmtId="0" fontId="15" fillId="9" borderId="0" xfId="2" applyFont="1" applyFill="1" applyProtection="1">
      <protection hidden="1"/>
    </xf>
    <xf numFmtId="0" fontId="15" fillId="9" borderId="5" xfId="2" applyFont="1" applyFill="1" applyBorder="1" applyProtection="1">
      <protection hidden="1"/>
    </xf>
    <xf numFmtId="0" fontId="6" fillId="8" borderId="2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>
      <alignment horizontal="center"/>
    </xf>
    <xf numFmtId="0" fontId="22" fillId="0" borderId="0" xfId="0" applyFont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66" fontId="22" fillId="0" borderId="0" xfId="0" applyNumberFormat="1" applyFont="1"/>
    <xf numFmtId="0" fontId="33" fillId="0" borderId="0" xfId="0" applyFont="1"/>
    <xf numFmtId="0" fontId="32" fillId="0" borderId="0" xfId="0" applyFont="1"/>
    <xf numFmtId="0" fontId="11" fillId="4" borderId="2" xfId="0" applyFont="1" applyFill="1" applyBorder="1" applyAlignment="1" applyProtection="1">
      <alignment horizontal="center" vertical="center"/>
      <protection hidden="1"/>
    </xf>
    <xf numFmtId="166" fontId="11" fillId="4" borderId="2" xfId="0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/>
    <xf numFmtId="11" fontId="22" fillId="0" borderId="0" xfId="0" applyNumberFormat="1" applyFont="1"/>
    <xf numFmtId="2" fontId="22" fillId="0" borderId="0" xfId="0" applyNumberFormat="1" applyFont="1"/>
    <xf numFmtId="2" fontId="0" fillId="0" borderId="0" xfId="0" applyNumberFormat="1"/>
    <xf numFmtId="165" fontId="22" fillId="0" borderId="0" xfId="0" applyNumberFormat="1" applyFont="1"/>
    <xf numFmtId="165" fontId="32" fillId="0" borderId="0" xfId="0" applyNumberFormat="1" applyFont="1"/>
    <xf numFmtId="166" fontId="32" fillId="0" borderId="0" xfId="0" applyNumberFormat="1" applyFont="1"/>
    <xf numFmtId="0" fontId="3" fillId="4" borderId="0" xfId="1" applyFont="1" applyFill="1" applyBorder="1" applyAlignment="1" applyProtection="1">
      <alignment horizontal="center"/>
      <protection hidden="1"/>
    </xf>
    <xf numFmtId="0" fontId="1" fillId="5" borderId="0" xfId="0" applyFont="1" applyFill="1" applyAlignment="1" applyProtection="1">
      <alignment horizontal="center"/>
      <protection hidden="1"/>
    </xf>
    <xf numFmtId="1" fontId="11" fillId="11" borderId="2" xfId="0" applyNumberFormat="1" applyFont="1" applyFill="1" applyBorder="1" applyAlignment="1" applyProtection="1">
      <alignment horizontal="center" vertical="center"/>
      <protection hidden="1"/>
    </xf>
    <xf numFmtId="166" fontId="11" fillId="11" borderId="2" xfId="0" applyNumberFormat="1" applyFont="1" applyFill="1" applyBorder="1" applyAlignment="1" applyProtection="1">
      <alignment horizontal="center" vertical="center"/>
      <protection hidden="1"/>
    </xf>
    <xf numFmtId="0" fontId="4" fillId="4" borderId="2" xfId="0" applyFont="1" applyFill="1" applyBorder="1" applyAlignment="1" applyProtection="1">
      <alignment horizontal="center" vertical="center"/>
      <protection hidden="1"/>
    </xf>
    <xf numFmtId="0" fontId="7" fillId="5" borderId="11" xfId="0" applyFont="1" applyFill="1" applyBorder="1" applyAlignment="1" applyProtection="1">
      <alignment horizontal="center" vertical="center"/>
      <protection locked="0" hidden="1"/>
    </xf>
    <xf numFmtId="3" fontId="7" fillId="5" borderId="11" xfId="0" applyNumberFormat="1" applyFont="1" applyFill="1" applyBorder="1" applyAlignment="1" applyProtection="1">
      <alignment horizontal="center" vertical="center"/>
      <protection locked="0" hidden="1"/>
    </xf>
    <xf numFmtId="0" fontId="7" fillId="10" borderId="11" xfId="0" applyFont="1" applyFill="1" applyBorder="1" applyAlignment="1" applyProtection="1">
      <alignment horizontal="center" vertical="center"/>
      <protection locked="0" hidden="1"/>
    </xf>
    <xf numFmtId="0" fontId="1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9" borderId="15" xfId="2" applyFont="1" applyFill="1" applyBorder="1" applyAlignment="1" applyProtection="1">
      <alignment horizontal="left" vertical="center"/>
      <protection hidden="1"/>
    </xf>
    <xf numFmtId="0" fontId="38" fillId="8" borderId="2" xfId="0" applyFont="1" applyFill="1" applyBorder="1" applyAlignment="1" applyProtection="1">
      <alignment horizontal="center" vertical="center"/>
      <protection hidden="1"/>
    </xf>
    <xf numFmtId="0" fontId="11" fillId="8" borderId="2" xfId="0" applyFont="1" applyFill="1" applyBorder="1" applyAlignment="1" applyProtection="1">
      <alignment horizontal="center" vertical="center"/>
      <protection hidden="1"/>
    </xf>
    <xf numFmtId="1" fontId="30" fillId="0" borderId="0" xfId="0" applyNumberFormat="1" applyFont="1"/>
    <xf numFmtId="11" fontId="30" fillId="0" borderId="0" xfId="0" applyNumberFormat="1" applyFont="1"/>
    <xf numFmtId="0" fontId="3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1" fillId="3" borderId="7" xfId="0" applyFont="1" applyFill="1" applyBorder="1" applyAlignment="1" applyProtection="1">
      <alignment horizontal="center" vertical="center" wrapText="1"/>
      <protection hidden="1"/>
    </xf>
    <xf numFmtId="0" fontId="31" fillId="3" borderId="13" xfId="0" applyFont="1" applyFill="1" applyBorder="1" applyAlignment="1" applyProtection="1">
      <alignment horizontal="center" vertical="center" wrapText="1"/>
      <protection hidden="1"/>
    </xf>
    <xf numFmtId="0" fontId="31" fillId="3" borderId="14" xfId="0" applyFont="1" applyFill="1" applyBorder="1" applyAlignment="1" applyProtection="1">
      <alignment horizontal="center" vertical="center" wrapText="1"/>
      <protection hidden="1"/>
    </xf>
    <xf numFmtId="0" fontId="31" fillId="3" borderId="4" xfId="0" applyFont="1" applyFill="1" applyBorder="1" applyAlignment="1" applyProtection="1">
      <alignment horizontal="center" vertical="center" wrapText="1"/>
      <protection hidden="1"/>
    </xf>
    <xf numFmtId="0" fontId="31" fillId="3" borderId="0" xfId="0" applyFont="1" applyFill="1" applyAlignment="1" applyProtection="1">
      <alignment horizontal="center" vertical="center" wrapText="1"/>
      <protection hidden="1"/>
    </xf>
    <xf numFmtId="0" fontId="31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left" vertical="center"/>
      <protection hidden="1"/>
    </xf>
    <xf numFmtId="0" fontId="5" fillId="7" borderId="0" xfId="0" applyFont="1" applyFill="1" applyAlignment="1" applyProtection="1">
      <alignment horizontal="left" vertical="center"/>
      <protection hidden="1"/>
    </xf>
    <xf numFmtId="0" fontId="5" fillId="7" borderId="5" xfId="0" applyFont="1" applyFill="1" applyBorder="1" applyAlignment="1" applyProtection="1">
      <alignment horizontal="left" vertical="center"/>
      <protection hidden="1"/>
    </xf>
    <xf numFmtId="0" fontId="15" fillId="9" borderId="0" xfId="2" applyFont="1" applyFill="1" applyAlignment="1" applyProtection="1">
      <alignment horizontal="left" vertical="center"/>
      <protection hidden="1"/>
    </xf>
    <xf numFmtId="0" fontId="15" fillId="9" borderId="5" xfId="2" applyFont="1" applyFill="1" applyBorder="1" applyAlignment="1" applyProtection="1">
      <alignment horizontal="left" vertical="center"/>
      <protection hidden="1"/>
    </xf>
    <xf numFmtId="0" fontId="15" fillId="9" borderId="15" xfId="2" applyFont="1" applyFill="1" applyBorder="1" applyAlignment="1" applyProtection="1">
      <alignment horizontal="left" vertical="center"/>
      <protection hidden="1"/>
    </xf>
    <xf numFmtId="0" fontId="12" fillId="9" borderId="4" xfId="2" applyFont="1" applyFill="1" applyBorder="1" applyAlignment="1" applyProtection="1">
      <alignment horizontal="center"/>
      <protection hidden="1"/>
    </xf>
    <xf numFmtId="0" fontId="12" fillId="9" borderId="0" xfId="2" applyFont="1" applyFill="1" applyAlignment="1" applyProtection="1">
      <alignment horizontal="center"/>
      <protection hidden="1"/>
    </xf>
    <xf numFmtId="0" fontId="12" fillId="9" borderId="5" xfId="2" applyFont="1" applyFill="1" applyBorder="1" applyAlignment="1" applyProtection="1">
      <alignment horizontal="center"/>
      <protection hidden="1"/>
    </xf>
    <xf numFmtId="0" fontId="12" fillId="9" borderId="16" xfId="2" applyFont="1" applyFill="1" applyBorder="1" applyAlignment="1" applyProtection="1">
      <alignment horizontal="center"/>
      <protection hidden="1"/>
    </xf>
    <xf numFmtId="0" fontId="19" fillId="9" borderId="7" xfId="2" applyFont="1" applyFill="1" applyBorder="1" applyAlignment="1" applyProtection="1">
      <alignment horizontal="left" vertical="center"/>
      <protection hidden="1"/>
    </xf>
    <xf numFmtId="0" fontId="19" fillId="9" borderId="13" xfId="2" applyFont="1" applyFill="1" applyBorder="1" applyAlignment="1" applyProtection="1">
      <alignment horizontal="left" vertical="center"/>
      <protection hidden="1"/>
    </xf>
    <xf numFmtId="0" fontId="19" fillId="9" borderId="14" xfId="2" applyFont="1" applyFill="1" applyBorder="1" applyAlignment="1" applyProtection="1">
      <alignment horizontal="left" vertical="center"/>
      <protection hidden="1"/>
    </xf>
    <xf numFmtId="0" fontId="16" fillId="9" borderId="4" xfId="2" applyFont="1" applyFill="1" applyBorder="1" applyAlignment="1" applyProtection="1">
      <alignment horizontal="left" vertical="center" wrapText="1"/>
      <protection hidden="1"/>
    </xf>
    <xf numFmtId="0" fontId="16" fillId="9" borderId="0" xfId="2" applyFont="1" applyFill="1" applyAlignment="1" applyProtection="1">
      <alignment horizontal="left" vertical="center" wrapText="1"/>
      <protection hidden="1"/>
    </xf>
    <xf numFmtId="0" fontId="16" fillId="9" borderId="5" xfId="2" applyFont="1" applyFill="1" applyBorder="1" applyAlignment="1" applyProtection="1">
      <alignment horizontal="left" vertical="center" wrapText="1"/>
      <protection hidden="1"/>
    </xf>
    <xf numFmtId="0" fontId="16" fillId="9" borderId="8" xfId="2" applyFont="1" applyFill="1" applyBorder="1" applyAlignment="1" applyProtection="1">
      <alignment horizontal="left" vertical="center"/>
      <protection hidden="1"/>
    </xf>
    <xf numFmtId="0" fontId="16" fillId="9" borderId="9" xfId="2" applyFont="1" applyFill="1" applyBorder="1" applyAlignment="1" applyProtection="1">
      <alignment horizontal="left" vertical="center"/>
      <protection hidden="1"/>
    </xf>
    <xf numFmtId="0" fontId="16" fillId="9" borderId="6" xfId="2" applyFont="1" applyFill="1" applyBorder="1" applyAlignment="1" applyProtection="1">
      <alignment horizontal="left" vertical="center"/>
      <protection hidden="1"/>
    </xf>
    <xf numFmtId="0" fontId="16" fillId="9" borderId="4" xfId="2" applyFont="1" applyFill="1" applyBorder="1" applyAlignment="1" applyProtection="1">
      <alignment horizontal="left" vertical="center"/>
      <protection hidden="1"/>
    </xf>
    <xf numFmtId="0" fontId="16" fillId="9" borderId="0" xfId="2" applyFont="1" applyFill="1" applyAlignment="1" applyProtection="1">
      <alignment horizontal="left" vertical="center"/>
      <protection hidden="1"/>
    </xf>
    <xf numFmtId="0" fontId="16" fillId="9" borderId="5" xfId="2" applyFont="1" applyFill="1" applyBorder="1" applyAlignment="1" applyProtection="1">
      <alignment horizontal="left" vertical="center"/>
      <protection hidden="1"/>
    </xf>
    <xf numFmtId="0" fontId="11" fillId="8" borderId="3" xfId="0" applyFont="1" applyFill="1" applyBorder="1" applyAlignment="1" applyProtection="1">
      <alignment horizontal="center" vertical="center"/>
      <protection hidden="1"/>
    </xf>
    <xf numFmtId="0" fontId="11" fillId="8" borderId="10" xfId="0" applyFont="1" applyFill="1" applyBorder="1" applyAlignment="1" applyProtection="1">
      <alignment horizontal="center" vertical="center"/>
      <protection hidden="1"/>
    </xf>
    <xf numFmtId="0" fontId="11" fillId="9" borderId="15" xfId="2" applyFont="1" applyFill="1" applyBorder="1" applyAlignment="1" applyProtection="1">
      <alignment horizontal="left" vertical="center"/>
      <protection hidden="1"/>
    </xf>
    <xf numFmtId="0" fontId="11" fillId="9" borderId="0" xfId="2" applyFont="1" applyFill="1" applyAlignment="1" applyProtection="1">
      <alignment horizontal="left" vertical="center"/>
      <protection hidden="1"/>
    </xf>
    <xf numFmtId="0" fontId="11" fillId="9" borderId="5" xfId="2" applyFont="1" applyFill="1" applyBorder="1" applyAlignment="1" applyProtection="1">
      <alignment horizontal="left" vertical="center"/>
      <protection hidden="1"/>
    </xf>
    <xf numFmtId="0" fontId="12" fillId="9" borderId="8" xfId="2" applyFont="1" applyFill="1" applyBorder="1" applyAlignment="1" applyProtection="1">
      <alignment horizontal="center"/>
      <protection hidden="1"/>
    </xf>
    <xf numFmtId="0" fontId="12" fillId="9" borderId="9" xfId="2" applyFont="1" applyFill="1" applyBorder="1" applyAlignment="1" applyProtection="1">
      <alignment horizontal="center"/>
      <protection hidden="1"/>
    </xf>
    <xf numFmtId="0" fontId="12" fillId="9" borderId="6" xfId="2" applyFont="1" applyFill="1" applyBorder="1" applyAlignment="1" applyProtection="1">
      <alignment horizontal="center"/>
      <protection hidden="1"/>
    </xf>
    <xf numFmtId="0" fontId="4" fillId="8" borderId="3" xfId="0" applyFont="1" applyFill="1" applyBorder="1" applyAlignment="1" applyProtection="1">
      <alignment horizontal="center" vertical="center"/>
      <protection hidden="1"/>
    </xf>
    <xf numFmtId="0" fontId="4" fillId="8" borderId="10" xfId="0" applyFont="1" applyFill="1" applyBorder="1" applyAlignment="1" applyProtection="1">
      <alignment horizontal="center" vertical="center"/>
      <protection hidden="1"/>
    </xf>
    <xf numFmtId="0" fontId="13" fillId="8" borderId="3" xfId="0" applyFont="1" applyFill="1" applyBorder="1" applyAlignment="1" applyProtection="1">
      <alignment horizontal="center" vertical="center"/>
      <protection hidden="1"/>
    </xf>
    <xf numFmtId="0" fontId="13" fillId="8" borderId="10" xfId="0" applyFont="1" applyFill="1" applyBorder="1" applyAlignment="1" applyProtection="1">
      <alignment horizontal="center" vertical="center"/>
      <protection hidden="1"/>
    </xf>
    <xf numFmtId="0" fontId="15" fillId="9" borderId="15" xfId="2" applyFont="1" applyFill="1" applyBorder="1" applyAlignment="1" applyProtection="1">
      <alignment horizontal="center"/>
      <protection hidden="1"/>
    </xf>
    <xf numFmtId="0" fontId="15" fillId="9" borderId="0" xfId="2" applyFont="1" applyFill="1" applyAlignment="1" applyProtection="1">
      <alignment horizontal="center"/>
      <protection hidden="1"/>
    </xf>
    <xf numFmtId="0" fontId="15" fillId="9" borderId="5" xfId="2" applyFont="1" applyFill="1" applyBorder="1" applyAlignment="1" applyProtection="1">
      <alignment horizontal="center"/>
      <protection hidden="1"/>
    </xf>
    <xf numFmtId="0" fontId="42" fillId="9" borderId="0" xfId="2" applyFont="1" applyFill="1" applyAlignment="1" applyProtection="1">
      <alignment horizontal="left" vertical="center"/>
      <protection hidden="1"/>
    </xf>
    <xf numFmtId="0" fontId="42" fillId="9" borderId="5" xfId="2" applyFont="1" applyFill="1" applyBorder="1" applyAlignment="1" applyProtection="1">
      <alignment horizontal="left" vertical="center"/>
      <protection hidden="1"/>
    </xf>
    <xf numFmtId="0" fontId="18" fillId="9" borderId="15" xfId="2" applyFont="1" applyFill="1" applyBorder="1" applyAlignment="1" applyProtection="1">
      <alignment horizontal="center"/>
      <protection hidden="1"/>
    </xf>
    <xf numFmtId="0" fontId="18" fillId="9" borderId="0" xfId="2" applyFont="1" applyFill="1" applyAlignment="1" applyProtection="1">
      <alignment horizontal="center"/>
      <protection hidden="1"/>
    </xf>
    <xf numFmtId="0" fontId="18" fillId="9" borderId="5" xfId="2" applyFont="1" applyFill="1" applyBorder="1" applyAlignment="1" applyProtection="1">
      <alignment horizontal="center"/>
      <protection hidden="1"/>
    </xf>
    <xf numFmtId="0" fontId="26" fillId="0" borderId="0" xfId="0" applyFont="1" applyAlignment="1">
      <alignment horizontal="left" vertical="center"/>
    </xf>
  </cellXfs>
  <cellStyles count="3">
    <cellStyle name="Explanatory Text" xfId="1" builtinId="53" customBuiltin="1"/>
    <cellStyle name="Normal" xfId="0" builtinId="0"/>
    <cellStyle name="Normal 2" xfId="2" xr:uid="{808B796B-22E6-492E-B07D-7C6AE1C05418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FFFF"/>
      <color rgb="FF66FFFF"/>
      <color rgb="FFFF7C80"/>
      <color rgb="FF00FF00"/>
      <color rgb="FF00CC00"/>
      <color rgb="FFCCFFCC"/>
      <color rgb="FFCCECFF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char mean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Calcs!$Q$39:$Q$44</c:f>
              <c:numCache>
                <c:formatCode>General</c:formatCode>
                <c:ptCount val="6"/>
                <c:pt idx="0">
                  <c:v>-40</c:v>
                </c:pt>
                <c:pt idx="1">
                  <c:v>-20</c:v>
                </c:pt>
                <c:pt idx="2">
                  <c:v>0</c:v>
                </c:pt>
                <c:pt idx="3">
                  <c:v>25</c:v>
                </c:pt>
                <c:pt idx="4">
                  <c:v>85</c:v>
                </c:pt>
                <c:pt idx="5">
                  <c:v>125</c:v>
                </c:pt>
              </c:numCache>
            </c:numRef>
          </c:xVal>
          <c:yVal>
            <c:numRef>
              <c:f>Calcs!$R$39:$R$44</c:f>
              <c:numCache>
                <c:formatCode>General</c:formatCode>
                <c:ptCount val="6"/>
                <c:pt idx="0">
                  <c:v>576</c:v>
                </c:pt>
                <c:pt idx="1">
                  <c:v>604.4</c:v>
                </c:pt>
                <c:pt idx="2">
                  <c:v>635</c:v>
                </c:pt>
                <c:pt idx="3">
                  <c:v>688</c:v>
                </c:pt>
                <c:pt idx="4">
                  <c:v>809.7</c:v>
                </c:pt>
                <c:pt idx="5">
                  <c:v>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42-4962-8582-1F9ED168927B}"/>
            </c:ext>
          </c:extLst>
        </c:ser>
        <c:ser>
          <c:idx val="1"/>
          <c:order val="1"/>
          <c:tx>
            <c:v>char max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Calcs!$Q$39:$Q$44</c:f>
              <c:numCache>
                <c:formatCode>General</c:formatCode>
                <c:ptCount val="6"/>
                <c:pt idx="0">
                  <c:v>-40</c:v>
                </c:pt>
                <c:pt idx="1">
                  <c:v>-20</c:v>
                </c:pt>
                <c:pt idx="2">
                  <c:v>0</c:v>
                </c:pt>
                <c:pt idx="3">
                  <c:v>25</c:v>
                </c:pt>
                <c:pt idx="4">
                  <c:v>85</c:v>
                </c:pt>
                <c:pt idx="5">
                  <c:v>125</c:v>
                </c:pt>
              </c:numCache>
            </c:numRef>
          </c:xVal>
          <c:yVal>
            <c:numRef>
              <c:f>Calcs!$T$39:$T$44</c:f>
              <c:numCache>
                <c:formatCode>General</c:formatCode>
                <c:ptCount val="6"/>
                <c:pt idx="0">
                  <c:v>610</c:v>
                </c:pt>
                <c:pt idx="1">
                  <c:v>625</c:v>
                </c:pt>
                <c:pt idx="2">
                  <c:v>652</c:v>
                </c:pt>
                <c:pt idx="3">
                  <c:v>709</c:v>
                </c:pt>
                <c:pt idx="4">
                  <c:v>832</c:v>
                </c:pt>
                <c:pt idx="5">
                  <c:v>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42-4962-8582-1F9ED168927B}"/>
            </c:ext>
          </c:extLst>
        </c:ser>
        <c:ser>
          <c:idx val="2"/>
          <c:order val="2"/>
          <c:tx>
            <c:v>fit</c:v>
          </c:tx>
          <c:spPr>
            <a:ln w="25400" cap="rnd">
              <a:solidFill>
                <a:schemeClr val="accent4">
                  <a:alpha val="73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Calcs!$Q$39:$Q$44</c:f>
              <c:numCache>
                <c:formatCode>General</c:formatCode>
                <c:ptCount val="6"/>
                <c:pt idx="0">
                  <c:v>-40</c:v>
                </c:pt>
                <c:pt idx="1">
                  <c:v>-20</c:v>
                </c:pt>
                <c:pt idx="2">
                  <c:v>0</c:v>
                </c:pt>
                <c:pt idx="3">
                  <c:v>25</c:v>
                </c:pt>
                <c:pt idx="4">
                  <c:v>85</c:v>
                </c:pt>
                <c:pt idx="5">
                  <c:v>125</c:v>
                </c:pt>
              </c:numCache>
            </c:numRef>
          </c:xVal>
          <c:yVal>
            <c:numRef>
              <c:f>Calcs!$V$39:$V$44</c:f>
              <c:numCache>
                <c:formatCode>General</c:formatCode>
                <c:ptCount val="6"/>
                <c:pt idx="0">
                  <c:v>552.79999999999995</c:v>
                </c:pt>
                <c:pt idx="1">
                  <c:v>594.4</c:v>
                </c:pt>
                <c:pt idx="2">
                  <c:v>636</c:v>
                </c:pt>
                <c:pt idx="3">
                  <c:v>688</c:v>
                </c:pt>
                <c:pt idx="4">
                  <c:v>812.8</c:v>
                </c:pt>
                <c:pt idx="5">
                  <c:v>896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42-4962-8582-1F9ED1689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8070159"/>
        <c:axId val="1345132911"/>
      </c:scatterChart>
      <c:valAx>
        <c:axId val="1608070159"/>
        <c:scaling>
          <c:orientation val="minMax"/>
          <c:min val="-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</a:t>
                </a:r>
                <a:r>
                  <a:rPr lang="en-US" baseline="0"/>
                  <a:t> (deg C)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132911"/>
        <c:crosses val="autoZero"/>
        <c:crossBetween val="midCat"/>
      </c:valAx>
      <c:valAx>
        <c:axId val="1345132911"/>
        <c:scaling>
          <c:orientation val="minMax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Rds</a:t>
                </a:r>
                <a:r>
                  <a:rPr lang="en-US" baseline="0"/>
                  <a:t> (uOhm)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070159"/>
        <c:crossesAt val="-40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779524258029211"/>
          <c:y val="0.13828162436183716"/>
          <c:w val="0.19148484194103624"/>
          <c:h val="0.629901673090298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44</xdr:row>
      <xdr:rowOff>0</xdr:rowOff>
    </xdr:from>
    <xdr:to>
      <xdr:col>23</xdr:col>
      <xdr:colOff>691664</xdr:colOff>
      <xdr:row>61</xdr:row>
      <xdr:rowOff>184085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92A1020-3CAC-4FD5-8975-60AAA5BAF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0</xdr:colOff>
      <xdr:row>66</xdr:row>
      <xdr:rowOff>0</xdr:rowOff>
    </xdr:from>
    <xdr:to>
      <xdr:col>27</xdr:col>
      <xdr:colOff>543493</xdr:colOff>
      <xdr:row>88</xdr:row>
      <xdr:rowOff>145526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6409BD-CBE8-4FC8-B7D2-08995AD0B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12166600"/>
          <a:ext cx="8157143" cy="4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F80"/>
  <sheetViews>
    <sheetView tabSelected="1" zoomScale="85" zoomScaleNormal="85" workbookViewId="0">
      <selection activeCell="R21" sqref="R21"/>
    </sheetView>
  </sheetViews>
  <sheetFormatPr defaultRowHeight="15.75"/>
  <cols>
    <col min="1" max="1" width="4.625" customWidth="1"/>
    <col min="2" max="2" width="4.625" style="1" customWidth="1"/>
    <col min="3" max="4" width="20.625" style="1" customWidth="1"/>
    <col min="5" max="5" width="12.625" style="1" customWidth="1"/>
    <col min="6" max="6" width="50.625" style="1" customWidth="1"/>
    <col min="7" max="8" width="12.625" style="1" customWidth="1"/>
    <col min="9" max="9" width="4.625" style="1" customWidth="1"/>
    <col min="10" max="10" width="9.75" style="14" customWidth="1"/>
    <col min="11" max="11" width="9.75" style="46" customWidth="1"/>
    <col min="12" max="26" width="9.75" style="14" customWidth="1"/>
    <col min="27" max="82" width="9.75" customWidth="1"/>
    <col min="83" max="1020" width="9.75" style="1" customWidth="1"/>
  </cols>
  <sheetData>
    <row r="1" spans="2:1020" ht="28.5" customHeight="1">
      <c r="B1" s="49" t="s">
        <v>151</v>
      </c>
      <c r="C1" s="50"/>
      <c r="D1" s="50"/>
      <c r="E1" s="50"/>
      <c r="F1" s="50"/>
      <c r="G1" s="50"/>
      <c r="H1" s="50"/>
      <c r="I1" s="51"/>
    </row>
    <row r="2" spans="2:1020" ht="33.75" customHeight="1">
      <c r="B2" s="52"/>
      <c r="C2" s="53"/>
      <c r="D2" s="53"/>
      <c r="E2" s="53"/>
      <c r="F2" s="53"/>
      <c r="G2" s="53"/>
      <c r="H2" s="53"/>
      <c r="I2" s="54"/>
    </row>
    <row r="3" spans="2:1020" ht="22.9" customHeight="1">
      <c r="B3" s="55" t="s">
        <v>150</v>
      </c>
      <c r="C3" s="56"/>
      <c r="D3" s="56"/>
      <c r="E3" s="56"/>
      <c r="F3" s="56"/>
      <c r="G3" s="56"/>
      <c r="H3" s="56"/>
      <c r="I3" s="57"/>
    </row>
    <row r="4" spans="2:1020">
      <c r="B4" s="64"/>
      <c r="C4" s="65"/>
      <c r="D4" s="65"/>
      <c r="E4" s="65"/>
      <c r="F4" s="65"/>
      <c r="G4" s="65"/>
      <c r="H4" s="65"/>
      <c r="I4" s="66"/>
    </row>
    <row r="5" spans="2:1020">
      <c r="B5" s="64"/>
      <c r="C5" s="28"/>
      <c r="D5" s="61" t="s">
        <v>45</v>
      </c>
      <c r="E5" s="61"/>
      <c r="F5" s="61"/>
      <c r="G5" s="61"/>
      <c r="H5" s="61"/>
      <c r="I5" s="62"/>
    </row>
    <row r="6" spans="2:1020">
      <c r="B6" s="64"/>
      <c r="C6" s="27"/>
      <c r="D6" s="61" t="s">
        <v>46</v>
      </c>
      <c r="E6" s="61"/>
      <c r="F6" s="61"/>
      <c r="G6" s="61"/>
      <c r="H6" s="61"/>
      <c r="I6" s="62"/>
    </row>
    <row r="7" spans="2:1020">
      <c r="B7" s="64"/>
      <c r="C7" s="2"/>
      <c r="D7" s="61" t="s">
        <v>47</v>
      </c>
      <c r="E7" s="61"/>
      <c r="F7" s="61"/>
      <c r="G7" s="61"/>
      <c r="H7" s="61"/>
      <c r="I7" s="62"/>
    </row>
    <row r="8" spans="2:1020">
      <c r="B8" s="64"/>
      <c r="C8" s="65"/>
      <c r="D8" s="65"/>
      <c r="E8" s="65"/>
      <c r="F8" s="65"/>
      <c r="G8" s="65"/>
      <c r="H8" s="65"/>
      <c r="I8" s="66"/>
    </row>
    <row r="9" spans="2:1020" ht="18.75" customHeight="1">
      <c r="B9" s="58" t="s">
        <v>48</v>
      </c>
      <c r="C9" s="59"/>
      <c r="D9" s="59"/>
      <c r="E9" s="59"/>
      <c r="F9" s="59"/>
      <c r="G9" s="59"/>
      <c r="H9" s="59"/>
      <c r="I9" s="60"/>
    </row>
    <row r="10" spans="2:1020">
      <c r="B10" s="64"/>
      <c r="C10" s="65"/>
      <c r="D10" s="65"/>
      <c r="E10" s="65"/>
      <c r="F10" s="65"/>
      <c r="G10" s="65"/>
      <c r="H10" s="65"/>
      <c r="I10" s="66"/>
    </row>
    <row r="11" spans="2:1020">
      <c r="B11" s="67"/>
      <c r="C11" s="7" t="s">
        <v>13</v>
      </c>
      <c r="D11" s="7" t="s">
        <v>0</v>
      </c>
      <c r="E11" s="7" t="s">
        <v>1</v>
      </c>
      <c r="F11" s="92"/>
      <c r="G11" s="93"/>
      <c r="H11" s="93"/>
      <c r="I11" s="94"/>
      <c r="L11" s="44"/>
    </row>
    <row r="12" spans="2:1020" ht="18.75">
      <c r="B12" s="67"/>
      <c r="C12" s="35" t="s">
        <v>63</v>
      </c>
      <c r="D12" s="32">
        <v>12</v>
      </c>
      <c r="E12" s="36" t="s">
        <v>2</v>
      </c>
      <c r="F12" s="63" t="s">
        <v>41</v>
      </c>
      <c r="G12" s="61"/>
      <c r="H12" s="61"/>
      <c r="I12" s="62"/>
      <c r="K12" s="47"/>
      <c r="L12" s="45"/>
    </row>
    <row r="13" spans="2:1020" ht="18.75">
      <c r="B13" s="67"/>
      <c r="C13" s="37" t="s">
        <v>64</v>
      </c>
      <c r="D13" s="32">
        <v>90</v>
      </c>
      <c r="E13" s="38" t="s">
        <v>3</v>
      </c>
      <c r="F13" s="63" t="s">
        <v>42</v>
      </c>
      <c r="G13" s="61"/>
      <c r="H13" s="61"/>
      <c r="I13" s="62"/>
      <c r="K13" s="47"/>
      <c r="L13" s="45"/>
    </row>
    <row r="14" spans="2:1020" ht="18.75">
      <c r="B14" s="67"/>
      <c r="C14" s="37" t="s">
        <v>65</v>
      </c>
      <c r="D14" s="32">
        <v>135</v>
      </c>
      <c r="E14" s="38" t="s">
        <v>3</v>
      </c>
      <c r="F14" s="63" t="s">
        <v>43</v>
      </c>
      <c r="G14" s="61"/>
      <c r="H14" s="61"/>
      <c r="I14" s="62"/>
      <c r="K14" s="47"/>
    </row>
    <row r="15" spans="2:1020" ht="18.75">
      <c r="B15" s="67"/>
      <c r="C15" s="39" t="s">
        <v>66</v>
      </c>
      <c r="D15" s="33">
        <v>24000</v>
      </c>
      <c r="E15" s="38" t="s">
        <v>9</v>
      </c>
      <c r="F15" s="63" t="s">
        <v>56</v>
      </c>
      <c r="G15" s="61"/>
      <c r="H15" s="61"/>
      <c r="I15" s="62"/>
      <c r="K15" s="47"/>
    </row>
    <row r="16" spans="2:1020" ht="18.75">
      <c r="B16" s="67"/>
      <c r="C16" s="40" t="s">
        <v>67</v>
      </c>
      <c r="D16" s="34">
        <v>77</v>
      </c>
      <c r="E16" s="40" t="s">
        <v>51</v>
      </c>
      <c r="F16" s="63" t="s">
        <v>44</v>
      </c>
      <c r="G16" s="61"/>
      <c r="H16" s="61"/>
      <c r="I16" s="62"/>
      <c r="K16" s="47"/>
      <c r="AMF16"/>
    </row>
    <row r="17" spans="2:12" ht="15.75" hidden="1" customHeight="1">
      <c r="B17" s="4"/>
      <c r="C17" s="3" t="s">
        <v>4</v>
      </c>
      <c r="D17" s="8" t="s">
        <v>8</v>
      </c>
      <c r="F17" s="5" t="s">
        <v>5</v>
      </c>
      <c r="G17" s="5"/>
      <c r="H17" s="5"/>
      <c r="I17" s="6"/>
      <c r="K17" s="47"/>
    </row>
    <row r="18" spans="2:12">
      <c r="B18" s="64"/>
      <c r="C18" s="65"/>
      <c r="D18" s="65"/>
      <c r="E18" s="65"/>
      <c r="F18" s="65"/>
      <c r="G18" s="65"/>
      <c r="H18" s="65"/>
      <c r="I18" s="66"/>
      <c r="K18" s="47"/>
    </row>
    <row r="19" spans="2:12" ht="18.75" customHeight="1">
      <c r="B19" s="58" t="s">
        <v>49</v>
      </c>
      <c r="C19" s="59"/>
      <c r="D19" s="59"/>
      <c r="E19" s="59"/>
      <c r="F19" s="59"/>
      <c r="G19" s="59"/>
      <c r="H19" s="59"/>
      <c r="I19" s="60"/>
      <c r="K19" s="47"/>
    </row>
    <row r="20" spans="2:12">
      <c r="B20" s="64"/>
      <c r="C20" s="65"/>
      <c r="D20" s="65"/>
      <c r="E20" s="65"/>
      <c r="F20" s="65"/>
      <c r="G20" s="65"/>
      <c r="H20" s="65"/>
      <c r="I20" s="66"/>
      <c r="K20" s="47"/>
    </row>
    <row r="21" spans="2:12">
      <c r="B21" s="64"/>
      <c r="C21" s="7" t="s">
        <v>13</v>
      </c>
      <c r="D21" s="7" t="s">
        <v>0</v>
      </c>
      <c r="E21" s="7" t="s">
        <v>1</v>
      </c>
      <c r="F21" s="92"/>
      <c r="G21" s="93"/>
      <c r="H21" s="93"/>
      <c r="I21" s="94"/>
      <c r="K21" s="47"/>
    </row>
    <row r="22" spans="2:12">
      <c r="B22" s="64"/>
      <c r="C22" s="90" t="s">
        <v>6</v>
      </c>
      <c r="D22" s="31">
        <f>Nr</f>
        <v>2</v>
      </c>
      <c r="E22" s="88" t="s">
        <v>12</v>
      </c>
      <c r="F22" s="63" t="s">
        <v>152</v>
      </c>
      <c r="G22" s="61"/>
      <c r="H22" s="61"/>
      <c r="I22" s="62"/>
      <c r="K22" s="47"/>
    </row>
    <row r="23" spans="2:12">
      <c r="B23" s="64"/>
      <c r="C23" s="91"/>
      <c r="D23" s="32">
        <v>2</v>
      </c>
      <c r="E23" s="89"/>
      <c r="F23" s="63" t="s">
        <v>153</v>
      </c>
      <c r="G23" s="61"/>
      <c r="H23" s="61"/>
      <c r="I23" s="62"/>
      <c r="K23" s="47"/>
    </row>
    <row r="24" spans="2:12">
      <c r="B24" s="64"/>
      <c r="C24" s="93"/>
      <c r="D24" s="93"/>
      <c r="E24" s="93"/>
      <c r="F24" s="93"/>
      <c r="G24" s="93"/>
      <c r="H24" s="93"/>
      <c r="I24" s="94"/>
      <c r="K24" s="47"/>
    </row>
    <row r="25" spans="2:12" ht="18" customHeight="1">
      <c r="B25" s="64"/>
      <c r="C25" s="80" t="s">
        <v>68</v>
      </c>
      <c r="D25" s="18">
        <f>ROUNDUP(Calcs!B36*1000000000,0)</f>
        <v>152</v>
      </c>
      <c r="E25" s="80" t="s">
        <v>55</v>
      </c>
      <c r="F25" s="63" t="s">
        <v>148</v>
      </c>
      <c r="G25" s="61"/>
      <c r="H25" s="61"/>
      <c r="I25" s="62"/>
      <c r="K25" s="47"/>
    </row>
    <row r="26" spans="2:12" ht="18.75">
      <c r="B26" s="64"/>
      <c r="C26" s="81"/>
      <c r="D26" s="32">
        <v>220</v>
      </c>
      <c r="E26" s="81"/>
      <c r="F26" s="41" t="s">
        <v>149</v>
      </c>
      <c r="G26" s="95" t="str">
        <f>IF(SS_TO=1,"Css too large, SS Time-Out Limit"," "  )</f>
        <v xml:space="preserve"> </v>
      </c>
      <c r="H26" s="95"/>
      <c r="I26" s="96"/>
      <c r="K26" s="47"/>
      <c r="L26" s="47"/>
    </row>
    <row r="27" spans="2:12" ht="18" customHeight="1">
      <c r="B27" s="64"/>
      <c r="C27" s="80" t="s">
        <v>69</v>
      </c>
      <c r="D27" s="19">
        <f>Calcs!B39*1000</f>
        <v>51.26213592233011</v>
      </c>
      <c r="E27" s="80" t="s">
        <v>60</v>
      </c>
      <c r="F27" s="82" t="s">
        <v>77</v>
      </c>
      <c r="G27" s="83"/>
      <c r="H27" s="83"/>
      <c r="I27" s="84"/>
      <c r="K27" s="47"/>
    </row>
    <row r="28" spans="2:12">
      <c r="B28" s="64"/>
      <c r="C28" s="81"/>
      <c r="D28" s="19">
        <f>Calcs!B40*1000</f>
        <v>45.606882493176236</v>
      </c>
      <c r="E28" s="81"/>
      <c r="F28" s="82" t="s">
        <v>78</v>
      </c>
      <c r="G28" s="83"/>
      <c r="H28" s="83"/>
      <c r="I28" s="84"/>
      <c r="K28" s="47"/>
    </row>
    <row r="29" spans="2:12" ht="18.75">
      <c r="B29" s="64"/>
      <c r="C29" s="80" t="s">
        <v>61</v>
      </c>
      <c r="D29" s="19">
        <f>Calcs!B44</f>
        <v>5.6304386821232448</v>
      </c>
      <c r="E29" s="80" t="s">
        <v>3</v>
      </c>
      <c r="F29" s="82" t="s">
        <v>62</v>
      </c>
      <c r="G29" s="83"/>
      <c r="H29" s="83"/>
      <c r="I29" s="84"/>
      <c r="K29" s="47"/>
    </row>
    <row r="30" spans="2:12" ht="18.75">
      <c r="B30" s="64"/>
      <c r="C30" s="81"/>
      <c r="D30" s="19">
        <f>Calcs!B45</f>
        <v>6.3272490787065294</v>
      </c>
      <c r="E30" s="81"/>
      <c r="F30" s="82" t="s">
        <v>90</v>
      </c>
      <c r="G30" s="83"/>
      <c r="H30" s="83"/>
      <c r="I30" s="84"/>
      <c r="K30" s="47"/>
    </row>
    <row r="31" spans="2:12">
      <c r="B31" s="64"/>
      <c r="C31" s="65"/>
      <c r="D31" s="65"/>
      <c r="E31" s="65"/>
      <c r="F31" s="65"/>
      <c r="G31" s="65"/>
      <c r="H31" s="65"/>
      <c r="I31" s="66"/>
      <c r="K31" s="48"/>
    </row>
    <row r="32" spans="2:12" ht="18.75">
      <c r="B32" s="58" t="s">
        <v>50</v>
      </c>
      <c r="C32" s="59"/>
      <c r="D32" s="59"/>
      <c r="E32" s="59"/>
      <c r="F32" s="59"/>
      <c r="G32" s="59"/>
      <c r="H32" s="59"/>
      <c r="I32" s="60"/>
      <c r="K32" s="47"/>
    </row>
    <row r="33" spans="2:26">
      <c r="B33" s="64"/>
      <c r="C33" s="65"/>
      <c r="D33" s="65"/>
      <c r="E33" s="65"/>
      <c r="F33" s="65"/>
      <c r="G33" s="65"/>
      <c r="H33" s="65"/>
      <c r="I33" s="66"/>
      <c r="K33" s="47"/>
    </row>
    <row r="34" spans="2:26">
      <c r="B34" s="67"/>
      <c r="C34" s="7" t="s">
        <v>13</v>
      </c>
      <c r="D34" s="7" t="s">
        <v>0</v>
      </c>
      <c r="E34" s="7" t="s">
        <v>1</v>
      </c>
      <c r="F34" s="97"/>
      <c r="G34" s="98"/>
      <c r="H34" s="98"/>
      <c r="I34" s="99"/>
      <c r="K34" s="47"/>
    </row>
    <row r="35" spans="2:26" ht="18.75">
      <c r="B35" s="67"/>
      <c r="C35" s="42" t="s">
        <v>140</v>
      </c>
      <c r="D35" s="18">
        <f>ROUNDUP(Calcs!B59,2)</f>
        <v>1.8800000000000001</v>
      </c>
      <c r="E35" s="43" t="s">
        <v>11</v>
      </c>
      <c r="F35" s="82" t="s">
        <v>71</v>
      </c>
      <c r="G35" s="83"/>
      <c r="H35" s="83"/>
      <c r="I35" s="84"/>
      <c r="K35" s="47"/>
    </row>
    <row r="36" spans="2:26" ht="18.75">
      <c r="B36" s="67"/>
      <c r="C36" s="42" t="s">
        <v>141</v>
      </c>
      <c r="D36" s="18">
        <f>ROUNDUP(Calcs!B60-Ta,0)</f>
        <v>3</v>
      </c>
      <c r="E36" s="43" t="s">
        <v>70</v>
      </c>
      <c r="F36" s="82" t="s">
        <v>72</v>
      </c>
      <c r="G36" s="83"/>
      <c r="H36" s="83"/>
      <c r="I36" s="84"/>
      <c r="K36" s="47"/>
    </row>
    <row r="37" spans="2:26" ht="18.75">
      <c r="B37" s="67"/>
      <c r="C37" s="43" t="s">
        <v>142</v>
      </c>
      <c r="D37" s="29">
        <f>ROUNDUP(Calcs!B60,0)</f>
        <v>80</v>
      </c>
      <c r="E37" s="43" t="s">
        <v>70</v>
      </c>
      <c r="F37" s="82" t="s">
        <v>73</v>
      </c>
      <c r="G37" s="83"/>
      <c r="H37" s="83"/>
      <c r="I37" s="84"/>
      <c r="K37" s="47"/>
    </row>
    <row r="38" spans="2:26">
      <c r="B38" s="67"/>
      <c r="C38" s="42" t="s">
        <v>144</v>
      </c>
      <c r="D38" s="30">
        <f>Calcs!B62/1000</f>
        <v>36.090704492505303</v>
      </c>
      <c r="E38" s="43" t="s">
        <v>143</v>
      </c>
      <c r="F38" s="82" t="s">
        <v>146</v>
      </c>
      <c r="G38" s="83"/>
      <c r="H38" s="83"/>
      <c r="I38" s="84"/>
    </row>
    <row r="39" spans="2:26" ht="16.5" thickBot="1">
      <c r="B39" s="85"/>
      <c r="C39" s="86"/>
      <c r="D39" s="86"/>
      <c r="E39" s="86"/>
      <c r="F39" s="86"/>
      <c r="G39" s="86"/>
      <c r="H39" s="86"/>
      <c r="I39" s="87"/>
    </row>
    <row r="40" spans="2:26">
      <c r="B40" s="68" t="s">
        <v>14</v>
      </c>
      <c r="C40" s="69"/>
      <c r="D40" s="69"/>
      <c r="E40" s="69"/>
      <c r="F40" s="69"/>
      <c r="G40" s="69"/>
      <c r="H40" s="69"/>
      <c r="I40" s="70"/>
    </row>
    <row r="41" spans="2:26" ht="15.75" customHeight="1">
      <c r="B41" s="71" t="s">
        <v>15</v>
      </c>
      <c r="C41" s="72"/>
      <c r="D41" s="72"/>
      <c r="E41" s="72"/>
      <c r="F41" s="72"/>
      <c r="G41" s="72"/>
      <c r="H41" s="72"/>
      <c r="I41" s="73"/>
    </row>
    <row r="42" spans="2:26">
      <c r="B42" s="77" t="s">
        <v>16</v>
      </c>
      <c r="C42" s="78"/>
      <c r="D42" s="78"/>
      <c r="E42" s="78"/>
      <c r="F42" s="78"/>
      <c r="G42" s="78"/>
      <c r="H42" s="78"/>
      <c r="I42" s="79"/>
    </row>
    <row r="43" spans="2:26" ht="16.5" thickBot="1">
      <c r="B43" s="74" t="s">
        <v>53</v>
      </c>
      <c r="C43" s="75"/>
      <c r="D43" s="75"/>
      <c r="E43" s="75"/>
      <c r="F43" s="75"/>
      <c r="G43" s="75"/>
      <c r="H43" s="75"/>
      <c r="I43" s="76"/>
    </row>
    <row r="44" spans="2:26" s="9" customFormat="1" ht="15">
      <c r="J44" s="14"/>
      <c r="K44" s="46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2:26" s="9" customFormat="1" ht="15">
      <c r="J45" s="14"/>
      <c r="K45" s="46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2:26" s="9" customFormat="1" ht="15.6" customHeight="1">
      <c r="J46" s="14"/>
      <c r="K46" s="46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2:26" s="9" customFormat="1" ht="15">
      <c r="J47" s="14"/>
      <c r="K47" s="46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2:26" s="9" customFormat="1" ht="15">
      <c r="J48" s="14"/>
      <c r="K48" s="46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0:26" s="9" customFormat="1" ht="15">
      <c r="J49" s="14"/>
      <c r="K49" s="46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0:26" s="9" customFormat="1" ht="15">
      <c r="J50" s="14"/>
      <c r="K50" s="46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0:26" s="9" customFormat="1" ht="15">
      <c r="J51" s="14"/>
      <c r="K51" s="46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0:26" s="9" customFormat="1" ht="15">
      <c r="J52" s="14"/>
      <c r="K52" s="46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0:26" s="9" customFormat="1" ht="15">
      <c r="J53" s="14"/>
      <c r="K53" s="46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0:26" s="9" customFormat="1" ht="15">
      <c r="J54" s="14"/>
      <c r="K54" s="46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0:26" s="9" customFormat="1" ht="15">
      <c r="J55" s="14"/>
      <c r="K55" s="46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0:26" s="9" customFormat="1" ht="15">
      <c r="J56" s="14"/>
      <c r="K56" s="46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0:26" s="9" customFormat="1" ht="15">
      <c r="J57" s="14"/>
      <c r="K57" s="46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0:26" s="9" customFormat="1" ht="15">
      <c r="J58" s="14"/>
      <c r="K58" s="46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0:26" s="9" customFormat="1" ht="15">
      <c r="J59" s="14"/>
      <c r="K59" s="46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0:26" s="9" customFormat="1" ht="15">
      <c r="J60" s="14"/>
      <c r="K60" s="46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0:26" s="9" customFormat="1" ht="15">
      <c r="J61" s="14"/>
      <c r="K61" s="46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0:26" s="9" customFormat="1" ht="15">
      <c r="J62" s="14"/>
      <c r="K62" s="46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0:26" s="9" customFormat="1" ht="15">
      <c r="J63" s="14"/>
      <c r="K63" s="46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0:26" s="9" customFormat="1" ht="15">
      <c r="J64" s="14"/>
      <c r="K64" s="46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0:26" s="9" customFormat="1" ht="15">
      <c r="J65" s="14"/>
      <c r="K65" s="46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0:26" s="9" customFormat="1" ht="15">
      <c r="J66" s="14"/>
      <c r="K66" s="46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0:26" s="9" customFormat="1" ht="15">
      <c r="J67" s="14"/>
      <c r="K67" s="46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0:26" s="9" customFormat="1" ht="15">
      <c r="J68" s="14"/>
      <c r="K68" s="46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0:26" s="9" customFormat="1" ht="15">
      <c r="J69" s="14"/>
      <c r="K69" s="46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0:26" s="9" customFormat="1" ht="15">
      <c r="J70" s="14"/>
      <c r="K70" s="46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0:26" s="9" customFormat="1" ht="15">
      <c r="J71" s="14"/>
      <c r="K71" s="46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0:26" s="9" customFormat="1" ht="15">
      <c r="J72" s="14"/>
      <c r="K72" s="46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0:26" s="9" customFormat="1" ht="15">
      <c r="J73" s="14"/>
      <c r="K73" s="46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0:26" s="9" customFormat="1" ht="15">
      <c r="J74" s="14"/>
      <c r="K74" s="46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0:26" s="9" customFormat="1" ht="15">
      <c r="J75" s="14"/>
      <c r="K75" s="46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0:26" s="9" customFormat="1" ht="15">
      <c r="J76" s="14"/>
      <c r="K76" s="46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0:26" s="9" customFormat="1" ht="15">
      <c r="J77" s="14"/>
      <c r="K77" s="46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0:26" s="9" customFormat="1" ht="15">
      <c r="J78" s="14"/>
      <c r="K78" s="46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0:26" s="9" customFormat="1" ht="15">
      <c r="J79" s="14"/>
      <c r="K79" s="46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0:26" s="9" customFormat="1" ht="15">
      <c r="J80" s="14"/>
      <c r="K80" s="46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</sheetData>
  <sheetProtection algorithmName="SHA-512" hashValue="gZy6+TIoXtXtmI9I8rKT7Yc8EXNA3Yn6QLKAJO6s0EaYHlF8sPM9HokavhRsZl/FH4ldtAtCcJd7ybR9RvTIZA==" saltValue="lgurWCHL7DJ5kGwVFP+Wvw==" spinCount="100000" sheet="1" objects="1" scenarios="1"/>
  <mergeCells count="53">
    <mergeCell ref="B4:I4"/>
    <mergeCell ref="B8:I8"/>
    <mergeCell ref="F35:I35"/>
    <mergeCell ref="F36:I36"/>
    <mergeCell ref="F11:I11"/>
    <mergeCell ref="G26:I26"/>
    <mergeCell ref="F34:I34"/>
    <mergeCell ref="B33:I33"/>
    <mergeCell ref="B34:B38"/>
    <mergeCell ref="F29:I29"/>
    <mergeCell ref="C29:C30"/>
    <mergeCell ref="E29:E30"/>
    <mergeCell ref="F37:I37"/>
    <mergeCell ref="C24:I24"/>
    <mergeCell ref="F21:I21"/>
    <mergeCell ref="B20:I20"/>
    <mergeCell ref="B21:B30"/>
    <mergeCell ref="E22:E23"/>
    <mergeCell ref="C22:C23"/>
    <mergeCell ref="F22:I22"/>
    <mergeCell ref="F23:I23"/>
    <mergeCell ref="B40:I40"/>
    <mergeCell ref="B41:I41"/>
    <mergeCell ref="B43:I43"/>
    <mergeCell ref="B42:I42"/>
    <mergeCell ref="C25:C26"/>
    <mergeCell ref="E25:E26"/>
    <mergeCell ref="F28:I28"/>
    <mergeCell ref="C27:C28"/>
    <mergeCell ref="E27:E28"/>
    <mergeCell ref="F30:I30"/>
    <mergeCell ref="F25:I25"/>
    <mergeCell ref="B39:I39"/>
    <mergeCell ref="F27:I27"/>
    <mergeCell ref="B32:I32"/>
    <mergeCell ref="F38:I38"/>
    <mergeCell ref="B31:I31"/>
    <mergeCell ref="B1:I2"/>
    <mergeCell ref="B3:I3"/>
    <mergeCell ref="B9:I9"/>
    <mergeCell ref="B19:I19"/>
    <mergeCell ref="D5:I5"/>
    <mergeCell ref="D6:I6"/>
    <mergeCell ref="D7:I7"/>
    <mergeCell ref="F12:I12"/>
    <mergeCell ref="F13:I13"/>
    <mergeCell ref="F14:I14"/>
    <mergeCell ref="F15:I15"/>
    <mergeCell ref="F16:I16"/>
    <mergeCell ref="B18:I18"/>
    <mergeCell ref="B10:I10"/>
    <mergeCell ref="B5:B7"/>
    <mergeCell ref="B11:B16"/>
  </mergeCells>
  <phoneticPr fontId="9" type="noConversion"/>
  <conditionalFormatting sqref="D12">
    <cfRule type="cellIs" dxfId="6" priority="8" operator="notBetween">
      <formula>4.5</formula>
      <formula>18</formula>
    </cfRule>
  </conditionalFormatting>
  <conditionalFormatting sqref="D13">
    <cfRule type="cellIs" dxfId="5" priority="7" operator="notBetween">
      <formula>0</formula>
      <formula>350</formula>
    </cfRule>
  </conditionalFormatting>
  <conditionalFormatting sqref="D14">
    <cfRule type="cellIs" dxfId="4" priority="6" operator="notBetween">
      <formula>$D$13</formula>
      <formula>560</formula>
    </cfRule>
  </conditionalFormatting>
  <conditionalFormatting sqref="D16">
    <cfRule type="cellIs" dxfId="3" priority="5" operator="notBetween">
      <formula>-40</formula>
      <formula>Ta_max</formula>
    </cfRule>
  </conditionalFormatting>
  <conditionalFormatting sqref="D23">
    <cfRule type="cellIs" dxfId="2" priority="3" operator="notBetween">
      <formula>$D$22</formula>
      <formula>7</formula>
    </cfRule>
  </conditionalFormatting>
  <conditionalFormatting sqref="D26">
    <cfRule type="cellIs" dxfId="1" priority="1" operator="between">
      <formula>0</formula>
      <formula>$D$25</formula>
    </cfRule>
    <cfRule type="expression" dxfId="0" priority="2">
      <formula>SS_TO=1</formula>
    </cfRule>
  </conditionalFormatting>
  <dataValidations count="1">
    <dataValidation type="list" allowBlank="1" showInputMessage="1" showErrorMessage="1" sqref="D17" xr:uid="{00000000-0002-0000-0000-000000000000}">
      <formula1>"Yes,No"</formula1>
      <formula2>0</formula2>
    </dataValidation>
  </dataValidations>
  <pageMargins left="0.7" right="0.7" top="0.75" bottom="0.75" header="0.51180555555555496" footer="0.51180555555555496"/>
  <pageSetup scale="5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6"/>
  <sheetViews>
    <sheetView zoomScale="85" zoomScaleNormal="85" workbookViewId="0">
      <selection activeCell="B42" sqref="B42"/>
    </sheetView>
  </sheetViews>
  <sheetFormatPr defaultRowHeight="15"/>
  <cols>
    <col min="1" max="1" width="8.625" style="9"/>
    <col min="2" max="2" width="11.375" style="9" bestFit="1" customWidth="1"/>
    <col min="3" max="14" width="8.625" style="9"/>
    <col min="15" max="15" width="9.125" style="9" customWidth="1"/>
    <col min="16" max="16" width="5.625" customWidth="1"/>
    <col min="17" max="993" width="9.125" customWidth="1"/>
  </cols>
  <sheetData>
    <row r="1" spans="2:26">
      <c r="Q1" s="9"/>
      <c r="R1" s="9"/>
      <c r="S1" s="9"/>
      <c r="T1" s="9"/>
      <c r="U1" s="9"/>
      <c r="V1" s="9"/>
      <c r="W1" s="9"/>
      <c r="X1" s="9"/>
    </row>
    <row r="2" spans="2:26">
      <c r="Q2" s="9"/>
      <c r="R2" s="9"/>
      <c r="S2" s="9"/>
      <c r="T2" s="9"/>
      <c r="U2" s="9"/>
      <c r="V2" s="9"/>
      <c r="W2" s="9"/>
      <c r="X2" s="9"/>
    </row>
    <row r="3" spans="2:26" ht="14.45" customHeight="1">
      <c r="Q3" s="9"/>
      <c r="R3" s="9"/>
      <c r="S3" s="9"/>
      <c r="T3" s="9"/>
      <c r="U3" s="9"/>
      <c r="V3" s="9"/>
      <c r="W3" s="9"/>
      <c r="X3" s="9"/>
    </row>
    <row r="4" spans="2:26">
      <c r="B4" s="9" t="s">
        <v>54</v>
      </c>
      <c r="G4" s="9" t="s">
        <v>31</v>
      </c>
      <c r="Q4" s="9"/>
      <c r="R4" s="9"/>
      <c r="S4" s="9"/>
      <c r="T4" s="9"/>
      <c r="U4" s="9"/>
      <c r="V4" s="9"/>
      <c r="W4" s="9"/>
      <c r="X4" s="9"/>
    </row>
    <row r="5" spans="2:26" ht="14.45" customHeight="1">
      <c r="Q5" s="9"/>
      <c r="R5" s="9"/>
      <c r="S5" s="9"/>
      <c r="T5" s="9"/>
      <c r="U5" s="9"/>
      <c r="V5" s="9"/>
      <c r="W5" s="9"/>
      <c r="X5" s="9"/>
    </row>
    <row r="6" spans="2:26" ht="14.45" customHeight="1">
      <c r="Q6" s="9"/>
      <c r="R6" s="9"/>
      <c r="S6" s="9"/>
      <c r="T6" s="9"/>
      <c r="U6" s="9"/>
      <c r="V6" s="9"/>
      <c r="W6" s="9"/>
      <c r="X6" s="9"/>
    </row>
    <row r="7" spans="2:26" ht="14.45" customHeight="1">
      <c r="B7" s="10" t="s">
        <v>17</v>
      </c>
      <c r="Q7" s="10" t="s">
        <v>120</v>
      </c>
      <c r="R7" s="9"/>
      <c r="S7" s="9"/>
      <c r="T7" s="9"/>
      <c r="U7" s="9"/>
      <c r="V7" s="9"/>
      <c r="W7" s="9"/>
      <c r="X7" s="9"/>
    </row>
    <row r="8" spans="2:26" ht="13.9" customHeight="1">
      <c r="Q8" s="9"/>
      <c r="R8" s="9"/>
      <c r="S8" s="9"/>
      <c r="T8" s="9"/>
      <c r="U8" s="9"/>
      <c r="V8" s="9"/>
      <c r="W8" s="9"/>
      <c r="X8" s="9"/>
    </row>
    <row r="9" spans="2:26">
      <c r="B9" s="9">
        <f>Front!D12</f>
        <v>12</v>
      </c>
      <c r="C9" s="9" t="s">
        <v>18</v>
      </c>
      <c r="D9" s="9" t="s">
        <v>19</v>
      </c>
      <c r="Q9" s="14">
        <v>4470</v>
      </c>
      <c r="R9" s="9" t="s">
        <v>109</v>
      </c>
      <c r="S9" s="9" t="s">
        <v>135</v>
      </c>
      <c r="T9" s="9"/>
      <c r="U9" s="9"/>
      <c r="V9" s="9"/>
      <c r="W9" s="9"/>
      <c r="X9" s="9"/>
      <c r="Z9" s="23"/>
    </row>
    <row r="10" spans="2:26">
      <c r="B10" s="9">
        <f>Front!D13</f>
        <v>90</v>
      </c>
      <c r="C10" s="9" t="s">
        <v>7</v>
      </c>
      <c r="D10" s="9" t="s">
        <v>20</v>
      </c>
      <c r="Q10" s="9">
        <v>1.0999999999999999E-2</v>
      </c>
      <c r="R10" s="9" t="s">
        <v>7</v>
      </c>
      <c r="S10" s="9" t="s">
        <v>110</v>
      </c>
      <c r="T10" s="9"/>
      <c r="U10" s="9"/>
      <c r="V10" s="9"/>
      <c r="W10" s="9"/>
      <c r="X10" s="9"/>
      <c r="Z10" s="23"/>
    </row>
    <row r="11" spans="2:26">
      <c r="B11" s="9">
        <f>Front!D14</f>
        <v>135</v>
      </c>
      <c r="C11" s="9" t="s">
        <v>7</v>
      </c>
      <c r="D11" s="9" t="s">
        <v>21</v>
      </c>
      <c r="Q11" s="9"/>
      <c r="R11" s="9"/>
      <c r="S11" s="9"/>
      <c r="T11" s="9"/>
      <c r="U11" s="9"/>
      <c r="V11" s="9"/>
      <c r="W11" s="9"/>
      <c r="X11" s="9"/>
      <c r="Z11" s="23"/>
    </row>
    <row r="12" spans="2:26">
      <c r="B12" s="9">
        <f>Front!D15/1000000</f>
        <v>2.4E-2</v>
      </c>
      <c r="C12" s="9" t="s">
        <v>22</v>
      </c>
      <c r="D12" s="9" t="s">
        <v>10</v>
      </c>
      <c r="Q12" s="21">
        <v>4.6199999999999998E-6</v>
      </c>
      <c r="R12" s="9" t="s">
        <v>7</v>
      </c>
      <c r="S12" s="9" t="s">
        <v>111</v>
      </c>
      <c r="T12" s="9"/>
      <c r="U12" s="9"/>
      <c r="V12" s="9"/>
      <c r="W12" s="9"/>
      <c r="X12" s="9"/>
      <c r="Z12" s="23"/>
    </row>
    <row r="13" spans="2:26">
      <c r="B13" s="9">
        <f>Front!D16</f>
        <v>77</v>
      </c>
      <c r="C13" s="9" t="s">
        <v>23</v>
      </c>
      <c r="D13" s="9" t="s">
        <v>24</v>
      </c>
      <c r="Q13" s="21">
        <v>5.1499999999999998E-6</v>
      </c>
      <c r="R13" s="9" t="s">
        <v>7</v>
      </c>
      <c r="S13" s="9" t="s">
        <v>112</v>
      </c>
      <c r="T13" s="9"/>
      <c r="U13" s="9"/>
      <c r="V13" s="9"/>
      <c r="W13" s="9"/>
      <c r="X13" s="9"/>
      <c r="Z13" s="23"/>
    </row>
    <row r="14" spans="2:26">
      <c r="B14" s="9">
        <f>Front!D23</f>
        <v>2</v>
      </c>
      <c r="C14" s="9" t="s">
        <v>30</v>
      </c>
      <c r="D14" s="9" t="s">
        <v>52</v>
      </c>
      <c r="Q14" s="21">
        <v>5.6200000000000004E-6</v>
      </c>
      <c r="R14" s="9" t="s">
        <v>7</v>
      </c>
      <c r="S14" s="9" t="s">
        <v>113</v>
      </c>
      <c r="T14" s="9"/>
      <c r="U14" s="9"/>
      <c r="V14" s="9"/>
      <c r="W14" s="9"/>
      <c r="X14" s="9"/>
      <c r="Z14" s="23"/>
    </row>
    <row r="15" spans="2:26">
      <c r="B15" s="9">
        <f>Front!D26/1000000000</f>
        <v>2.2000000000000001E-7</v>
      </c>
      <c r="C15" s="9" t="s">
        <v>22</v>
      </c>
      <c r="D15" s="9" t="s">
        <v>59</v>
      </c>
      <c r="Q15" s="9"/>
      <c r="R15" s="9"/>
      <c r="S15" s="9"/>
      <c r="T15" s="9"/>
      <c r="U15" s="9"/>
      <c r="V15" s="9"/>
      <c r="W15" s="9"/>
      <c r="X15" s="9"/>
    </row>
    <row r="16" spans="2:26">
      <c r="Q16" s="9">
        <v>9.6999999999999993</v>
      </c>
      <c r="R16" s="9" t="s">
        <v>115</v>
      </c>
      <c r="S16" s="9" t="s">
        <v>114</v>
      </c>
      <c r="T16" s="9"/>
      <c r="U16" s="9"/>
      <c r="V16" s="9"/>
      <c r="W16" s="9"/>
      <c r="X16" s="9"/>
    </row>
    <row r="17" spans="2:24">
      <c r="Q17" s="9">
        <v>10</v>
      </c>
      <c r="R17" s="9" t="s">
        <v>115</v>
      </c>
      <c r="S17" s="9" t="s">
        <v>116</v>
      </c>
      <c r="T17" s="9"/>
      <c r="U17" s="9"/>
      <c r="V17" s="9"/>
      <c r="W17" s="9"/>
      <c r="X17" s="9"/>
    </row>
    <row r="18" spans="2:24" ht="14.45" customHeight="1">
      <c r="Q18" s="9">
        <v>10.3</v>
      </c>
      <c r="R18" s="9" t="s">
        <v>115</v>
      </c>
      <c r="S18" s="9" t="s">
        <v>117</v>
      </c>
      <c r="T18" s="9"/>
      <c r="U18" s="9"/>
      <c r="V18" s="9"/>
      <c r="W18" s="9"/>
      <c r="X18" s="9"/>
    </row>
    <row r="19" spans="2:24">
      <c r="B19" s="10" t="s">
        <v>28</v>
      </c>
      <c r="Q19" s="9"/>
      <c r="R19" s="9"/>
      <c r="S19" s="9"/>
      <c r="T19" s="9"/>
      <c r="U19" s="9"/>
      <c r="V19" s="9"/>
      <c r="W19" s="9"/>
      <c r="X19" s="9"/>
    </row>
    <row r="20" spans="2:24" ht="14.45" customHeight="1">
      <c r="Q20" s="9">
        <v>6.75</v>
      </c>
      <c r="R20" s="9" t="s">
        <v>7</v>
      </c>
      <c r="S20" s="9" t="s">
        <v>118</v>
      </c>
      <c r="T20" s="9"/>
      <c r="U20" s="9"/>
      <c r="V20" s="9"/>
      <c r="W20" s="9"/>
      <c r="X20" s="9"/>
    </row>
    <row r="21" spans="2:24" ht="14.45" customHeight="1">
      <c r="B21" s="9">
        <f>Idc/50</f>
        <v>1.8</v>
      </c>
      <c r="C21" s="9" t="s">
        <v>30</v>
      </c>
      <c r="D21" s="9" t="s">
        <v>25</v>
      </c>
      <c r="Q21" s="9">
        <v>4.5</v>
      </c>
      <c r="R21" s="9" t="s">
        <v>7</v>
      </c>
      <c r="S21" s="9" t="s">
        <v>121</v>
      </c>
      <c r="T21" s="9"/>
      <c r="U21" s="9"/>
      <c r="V21" s="9"/>
      <c r="W21" s="9"/>
      <c r="X21" s="9"/>
    </row>
    <row r="22" spans="2:24" ht="14.45" customHeight="1">
      <c r="B22" s="9">
        <f>Ipk/80</f>
        <v>1.6875</v>
      </c>
      <c r="C22" s="9" t="s">
        <v>30</v>
      </c>
      <c r="D22" s="9" t="s">
        <v>26</v>
      </c>
      <c r="Q22" s="9"/>
      <c r="R22" s="9"/>
      <c r="S22" s="9"/>
      <c r="T22" s="9"/>
      <c r="U22" s="9"/>
      <c r="V22" s="9"/>
      <c r="W22" s="9"/>
      <c r="X22" s="9"/>
    </row>
    <row r="23" spans="2:24" ht="14.45" customHeight="1">
      <c r="B23" s="16">
        <f>ROUNDUP(MAX(B21:B22),0)</f>
        <v>2</v>
      </c>
      <c r="C23" s="9" t="s">
        <v>30</v>
      </c>
      <c r="D23" s="9" t="s">
        <v>27</v>
      </c>
      <c r="G23" s="11" t="s">
        <v>57</v>
      </c>
      <c r="Q23" s="9">
        <f>V35</f>
        <v>2.08</v>
      </c>
      <c r="R23" s="9" t="s">
        <v>126</v>
      </c>
      <c r="S23" s="9" t="s">
        <v>125</v>
      </c>
      <c r="T23" s="100" t="s">
        <v>133</v>
      </c>
      <c r="U23" s="100"/>
      <c r="V23" s="100"/>
      <c r="W23" s="100"/>
      <c r="X23" s="100"/>
    </row>
    <row r="24" spans="2:24" ht="14.45" customHeight="1">
      <c r="Q24" s="9">
        <f>V36</f>
        <v>636</v>
      </c>
      <c r="R24" s="9" t="s">
        <v>97</v>
      </c>
      <c r="S24" s="9" t="s">
        <v>127</v>
      </c>
      <c r="T24" s="100"/>
      <c r="U24" s="100"/>
      <c r="V24" s="100"/>
      <c r="W24" s="100"/>
      <c r="X24" s="100"/>
    </row>
    <row r="25" spans="2:24">
      <c r="L25"/>
      <c r="M25"/>
      <c r="N25"/>
      <c r="Q25" s="9"/>
      <c r="R25" s="9"/>
      <c r="S25" s="9"/>
      <c r="T25" s="9"/>
      <c r="U25" s="9"/>
      <c r="V25" s="9"/>
      <c r="W25" s="9"/>
      <c r="X25" s="9"/>
    </row>
    <row r="26" spans="2:24">
      <c r="L26"/>
      <c r="M26"/>
      <c r="N26"/>
      <c r="Q26" s="9">
        <v>1.5</v>
      </c>
      <c r="R26" s="9" t="s">
        <v>75</v>
      </c>
      <c r="S26" s="9" t="s">
        <v>128</v>
      </c>
      <c r="T26" s="9"/>
      <c r="U26" s="9"/>
      <c r="V26" s="9"/>
      <c r="W26" s="9"/>
      <c r="X26" s="9"/>
    </row>
    <row r="27" spans="2:24">
      <c r="B27" s="10" t="s">
        <v>29</v>
      </c>
      <c r="G27" s="11" t="s">
        <v>124</v>
      </c>
      <c r="L27"/>
      <c r="M27"/>
      <c r="N27"/>
      <c r="Q27" s="9"/>
      <c r="R27" s="9"/>
      <c r="S27" s="9"/>
      <c r="T27" s="9"/>
      <c r="U27" s="9"/>
      <c r="V27" s="9"/>
      <c r="W27" s="9"/>
      <c r="X27" s="9"/>
    </row>
    <row r="28" spans="2:24">
      <c r="Q28" s="9">
        <v>180</v>
      </c>
      <c r="R28" s="9" t="s">
        <v>130</v>
      </c>
      <c r="S28" s="9" t="s">
        <v>131</v>
      </c>
      <c r="T28" s="9"/>
      <c r="U28" s="9"/>
      <c r="V28" s="9"/>
      <c r="W28" s="9"/>
      <c r="X28" s="9"/>
    </row>
    <row r="29" spans="2:24">
      <c r="B29" s="9">
        <f>IF(Vin&lt;13.2,Q20,Q21)</f>
        <v>6.75</v>
      </c>
      <c r="C29" s="9" t="s">
        <v>7</v>
      </c>
      <c r="D29" s="9" t="s">
        <v>58</v>
      </c>
      <c r="G29" s="11" t="s">
        <v>108</v>
      </c>
      <c r="Q29" s="9">
        <v>200</v>
      </c>
      <c r="R29" s="9" t="s">
        <v>130</v>
      </c>
      <c r="S29" s="9" t="s">
        <v>132</v>
      </c>
      <c r="T29" s="9"/>
      <c r="U29" s="9"/>
      <c r="V29" s="9"/>
      <c r="W29" s="9"/>
      <c r="X29" s="9"/>
    </row>
    <row r="30" spans="2:24">
      <c r="B30" s="9">
        <f>IF(Np=1,B29*0.9,B29*0.9-1.5)</f>
        <v>4.5750000000000002</v>
      </c>
      <c r="C30" s="9" t="s">
        <v>7</v>
      </c>
      <c r="D30" s="9" t="s">
        <v>123</v>
      </c>
      <c r="G30" s="11" t="s">
        <v>107</v>
      </c>
      <c r="Q30" s="9"/>
      <c r="R30" s="9"/>
      <c r="S30" s="9"/>
      <c r="T30" s="9"/>
      <c r="U30" s="9"/>
      <c r="V30" s="9"/>
      <c r="W30" s="9"/>
      <c r="X30" s="9"/>
    </row>
    <row r="31" spans="2:24">
      <c r="G31" s="11" t="s">
        <v>119</v>
      </c>
      <c r="Q31" s="9"/>
      <c r="R31" s="9"/>
      <c r="S31" s="9"/>
      <c r="T31" s="9"/>
      <c r="U31" s="9"/>
      <c r="V31" s="9"/>
      <c r="W31" s="9"/>
      <c r="X31" s="9"/>
    </row>
    <row r="32" spans="2:24">
      <c r="G32" s="11"/>
      <c r="Q32" s="9"/>
      <c r="R32" s="9"/>
      <c r="S32" s="9"/>
      <c r="T32" s="9"/>
      <c r="U32" s="9"/>
      <c r="V32" s="9"/>
      <c r="W32" s="9"/>
      <c r="X32" s="9"/>
    </row>
    <row r="33" spans="2:24">
      <c r="B33" s="9">
        <f>Cout*Vin/ICL_lo/Np</f>
        <v>3.1475409836065574E-2</v>
      </c>
      <c r="C33" s="9" t="s">
        <v>33</v>
      </c>
      <c r="D33" s="9" t="s">
        <v>32</v>
      </c>
      <c r="G33" s="11" t="s">
        <v>34</v>
      </c>
      <c r="L33" s="12"/>
      <c r="Q33" s="9" t="s">
        <v>122</v>
      </c>
      <c r="R33" s="9"/>
      <c r="S33" s="9"/>
      <c r="T33" s="9"/>
      <c r="U33" s="9"/>
      <c r="V33" s="9"/>
      <c r="W33" s="9"/>
      <c r="X33" s="9"/>
    </row>
    <row r="34" spans="2:24" ht="16.5" customHeight="1">
      <c r="B34" s="9">
        <f>Vin/B33</f>
        <v>381.25</v>
      </c>
      <c r="C34" s="9" t="s">
        <v>36</v>
      </c>
      <c r="D34" s="13" t="s">
        <v>35</v>
      </c>
      <c r="E34" s="13"/>
      <c r="L34" s="12"/>
      <c r="Q34" s="9"/>
      <c r="R34" s="9"/>
      <c r="S34" s="9"/>
      <c r="T34" s="9"/>
      <c r="U34" s="9"/>
      <c r="V34" s="9"/>
      <c r="W34" s="9"/>
      <c r="X34" s="9"/>
    </row>
    <row r="35" spans="2:24">
      <c r="B35" s="9">
        <f>B34/AVSS_hi</f>
        <v>37.014563106796111</v>
      </c>
      <c r="C35" s="9" t="s">
        <v>36</v>
      </c>
      <c r="D35" s="13" t="s">
        <v>37</v>
      </c>
      <c r="E35" s="13"/>
      <c r="G35" s="11" t="s">
        <v>38</v>
      </c>
      <c r="Q35" s="9" t="s">
        <v>79</v>
      </c>
      <c r="R35" s="9"/>
      <c r="S35" s="9"/>
      <c r="T35" s="9"/>
      <c r="U35" s="9"/>
      <c r="V35" s="9">
        <v>2.08</v>
      </c>
      <c r="W35" s="9" t="s">
        <v>87</v>
      </c>
      <c r="X35" s="9"/>
    </row>
    <row r="36" spans="2:24">
      <c r="B36" s="17">
        <f>Iss_hi/B35</f>
        <v>1.5183213114754102E-7</v>
      </c>
      <c r="C36" s="9" t="s">
        <v>22</v>
      </c>
      <c r="D36" s="9" t="s">
        <v>39</v>
      </c>
      <c r="G36" s="11" t="s">
        <v>40</v>
      </c>
      <c r="Q36" s="9" t="s">
        <v>84</v>
      </c>
      <c r="R36" s="9"/>
      <c r="S36" s="9"/>
      <c r="T36" s="9"/>
      <c r="U36" s="9"/>
      <c r="V36" s="9">
        <v>636</v>
      </c>
      <c r="W36" s="9" t="s">
        <v>88</v>
      </c>
      <c r="X36" s="9"/>
    </row>
    <row r="37" spans="2:24">
      <c r="B37" s="14"/>
      <c r="C37" s="14"/>
      <c r="G37" s="11"/>
      <c r="Q37" s="9"/>
      <c r="R37" s="9"/>
      <c r="S37" s="9"/>
      <c r="T37" s="9"/>
      <c r="U37" s="9"/>
      <c r="V37" s="9"/>
      <c r="W37" s="9"/>
      <c r="X37" s="9"/>
    </row>
    <row r="38" spans="2:24">
      <c r="B38" s="14"/>
      <c r="C38" s="14"/>
      <c r="Q38" s="9" t="s">
        <v>80</v>
      </c>
      <c r="R38" s="9" t="s">
        <v>81</v>
      </c>
      <c r="S38" s="9" t="s">
        <v>82</v>
      </c>
      <c r="T38" s="9" t="s">
        <v>83</v>
      </c>
      <c r="U38" s="9"/>
      <c r="V38" s="9" t="s">
        <v>85</v>
      </c>
      <c r="W38" s="9" t="s">
        <v>86</v>
      </c>
      <c r="X38" s="9"/>
    </row>
    <row r="39" spans="2:24">
      <c r="B39" s="17">
        <f>Vin*Css/AVSS/Iss</f>
        <v>5.1262135922330108E-2</v>
      </c>
      <c r="C39" s="9" t="s">
        <v>33</v>
      </c>
      <c r="D39" s="9" t="s">
        <v>76</v>
      </c>
      <c r="Q39" s="9">
        <v>-40</v>
      </c>
      <c r="R39" s="9">
        <v>576</v>
      </c>
      <c r="S39" s="9">
        <v>12.9</v>
      </c>
      <c r="T39" s="9">
        <v>610</v>
      </c>
      <c r="U39" s="9"/>
      <c r="V39" s="9">
        <f t="shared" ref="V39:V44" si="0">V$35*Q39+V$36</f>
        <v>552.79999999999995</v>
      </c>
      <c r="W39" s="22">
        <f>100*(V39-R39)/R39</f>
        <v>-4.0277777777777857</v>
      </c>
      <c r="X39" s="9"/>
    </row>
    <row r="40" spans="2:24">
      <c r="B40" s="17">
        <f>Vin*Css/AVSS_hi/Iss_hi</f>
        <v>4.5606882493176237E-2</v>
      </c>
      <c r="C40" s="9" t="s">
        <v>33</v>
      </c>
      <c r="D40" s="9" t="s">
        <v>93</v>
      </c>
      <c r="Q40" s="9">
        <v>-20</v>
      </c>
      <c r="R40" s="9">
        <v>604.4</v>
      </c>
      <c r="S40" s="9">
        <v>10.7</v>
      </c>
      <c r="T40" s="9">
        <v>625</v>
      </c>
      <c r="U40" s="9"/>
      <c r="V40" s="9">
        <f t="shared" si="0"/>
        <v>594.4</v>
      </c>
      <c r="W40" s="22">
        <f t="shared" ref="W40:W44" si="1">100*(V40-R40)/R40</f>
        <v>-1.654533421575116</v>
      </c>
      <c r="X40" s="9"/>
    </row>
    <row r="41" spans="2:24">
      <c r="B41" s="14">
        <f>Vin*Css/AVSS_lo/Iss_lo</f>
        <v>5.8910162002945521E-2</v>
      </c>
      <c r="C41" s="9" t="s">
        <v>33</v>
      </c>
      <c r="D41" s="9" t="s">
        <v>106</v>
      </c>
      <c r="G41" s="12"/>
      <c r="Q41" s="9">
        <v>0</v>
      </c>
      <c r="R41" s="9">
        <v>635</v>
      </c>
      <c r="S41" s="9">
        <v>8.17</v>
      </c>
      <c r="T41" s="9">
        <v>652</v>
      </c>
      <c r="U41" s="9"/>
      <c r="V41" s="9">
        <f t="shared" si="0"/>
        <v>636</v>
      </c>
      <c r="W41" s="22">
        <f t="shared" si="1"/>
        <v>0.15748031496062992</v>
      </c>
      <c r="X41" s="9"/>
    </row>
    <row r="42" spans="2:24">
      <c r="B42" s="9">
        <f>IF(B41*1000&gt;Tss_TO_lo,1,0)</f>
        <v>0</v>
      </c>
      <c r="C42" s="9" t="s">
        <v>30</v>
      </c>
      <c r="D42" s="9" t="s">
        <v>147</v>
      </c>
      <c r="G42" s="11" t="s">
        <v>139</v>
      </c>
      <c r="Q42" s="9">
        <v>25</v>
      </c>
      <c r="R42" s="9">
        <v>688</v>
      </c>
      <c r="S42" s="9">
        <v>11.5</v>
      </c>
      <c r="T42" s="9">
        <v>709</v>
      </c>
      <c r="U42" s="9"/>
      <c r="V42" s="9">
        <f t="shared" si="0"/>
        <v>688</v>
      </c>
      <c r="W42" s="22">
        <f t="shared" si="1"/>
        <v>0</v>
      </c>
      <c r="X42" s="9"/>
    </row>
    <row r="43" spans="2:24">
      <c r="Q43" s="9">
        <v>85</v>
      </c>
      <c r="R43" s="9">
        <v>809.7</v>
      </c>
      <c r="S43" s="9">
        <v>11.1</v>
      </c>
      <c r="T43" s="9">
        <v>832</v>
      </c>
      <c r="U43" s="9"/>
      <c r="V43" s="9">
        <f t="shared" si="0"/>
        <v>812.8</v>
      </c>
      <c r="W43" s="22">
        <f t="shared" si="1"/>
        <v>0.38285784858588473</v>
      </c>
      <c r="X43" s="9"/>
    </row>
    <row r="44" spans="2:24">
      <c r="B44" s="17">
        <f>((Cout*Vin/B39)*(1+1/ISR))+Iq</f>
        <v>5.6304386821232448</v>
      </c>
      <c r="C44" s="9" t="s">
        <v>7</v>
      </c>
      <c r="D44" s="9" t="s">
        <v>91</v>
      </c>
      <c r="G44" s="11" t="s">
        <v>129</v>
      </c>
      <c r="Q44" s="9">
        <v>125</v>
      </c>
      <c r="R44" s="9">
        <v>897</v>
      </c>
      <c r="S44" s="9">
        <v>13</v>
      </c>
      <c r="T44" s="9">
        <v>928</v>
      </c>
      <c r="U44" s="9"/>
      <c r="V44" s="9">
        <f t="shared" si="0"/>
        <v>896</v>
      </c>
      <c r="W44" s="22">
        <f t="shared" si="1"/>
        <v>-0.11148272017837235</v>
      </c>
      <c r="X44" s="9"/>
    </row>
    <row r="45" spans="2:24">
      <c r="B45" s="17">
        <f>((Cout*Vin/B40)*(1+1/ISR))+Iq</f>
        <v>6.3272490787065294</v>
      </c>
      <c r="C45" s="9" t="s">
        <v>7</v>
      </c>
      <c r="D45" s="9" t="s">
        <v>92</v>
      </c>
      <c r="X45" s="9"/>
    </row>
    <row r="46" spans="2:24">
      <c r="X46" s="9"/>
    </row>
    <row r="47" spans="2:24">
      <c r="X47" s="9"/>
    </row>
    <row r="48" spans="2:24">
      <c r="X48" s="9"/>
    </row>
    <row r="49" spans="2:24">
      <c r="B49" s="10" t="s">
        <v>94</v>
      </c>
      <c r="X49" s="9"/>
    </row>
    <row r="50" spans="2:24">
      <c r="X50" s="9"/>
    </row>
    <row r="51" spans="2:24">
      <c r="B51" s="24">
        <f>(Idc/Np/ISR+Iq)*Vin</f>
        <v>0.25280536912751678</v>
      </c>
      <c r="C51" s="9" t="s">
        <v>74</v>
      </c>
      <c r="D51" s="9" t="s">
        <v>95</v>
      </c>
      <c r="G51" s="11" t="s">
        <v>134</v>
      </c>
      <c r="X51" s="9"/>
    </row>
    <row r="52" spans="2:24">
      <c r="B52" s="9">
        <f>RdsM*Ta+Rds0</f>
        <v>796.16</v>
      </c>
      <c r="C52" s="9" t="s">
        <v>97</v>
      </c>
      <c r="D52" s="9" t="s">
        <v>96</v>
      </c>
      <c r="X52" s="9"/>
    </row>
    <row r="53" spans="2:24">
      <c r="B53" s="24">
        <f>(Idc/Np)^2*B52/1000000+Piq</f>
        <v>1.8650293691275168</v>
      </c>
      <c r="C53" s="9" t="s">
        <v>74</v>
      </c>
      <c r="D53" s="9" t="s">
        <v>98</v>
      </c>
    </row>
    <row r="54" spans="2:24">
      <c r="B54" s="15">
        <f>B53*RTjb+Ta</f>
        <v>79.797544053691269</v>
      </c>
      <c r="C54" s="9" t="s">
        <v>23</v>
      </c>
      <c r="D54" s="9" t="s">
        <v>99</v>
      </c>
    </row>
    <row r="55" spans="2:24">
      <c r="B55" s="15">
        <f>RdsM*B54+Rds0</f>
        <v>801.97889163167781</v>
      </c>
      <c r="C55" s="9" t="s">
        <v>97</v>
      </c>
      <c r="D55" s="9" t="s">
        <v>100</v>
      </c>
    </row>
    <row r="56" spans="2:24">
      <c r="B56" s="24">
        <f>(Idc/Np)^2*B55/1000000+Piq</f>
        <v>1.8768126246816643</v>
      </c>
      <c r="C56" s="9" t="s">
        <v>74</v>
      </c>
      <c r="D56" s="9" t="s">
        <v>101</v>
      </c>
    </row>
    <row r="57" spans="2:24">
      <c r="B57" s="15">
        <f>B56*RTjb+Ta</f>
        <v>79.815218937022493</v>
      </c>
      <c r="C57" s="9" t="s">
        <v>23</v>
      </c>
      <c r="D57" s="9" t="s">
        <v>102</v>
      </c>
    </row>
    <row r="58" spans="2:24">
      <c r="B58" s="15">
        <f>RdsM*B57+Rds0</f>
        <v>802.01565538900672</v>
      </c>
      <c r="C58" s="9" t="s">
        <v>97</v>
      </c>
      <c r="D58" s="9" t="s">
        <v>105</v>
      </c>
    </row>
    <row r="59" spans="2:24">
      <c r="B59" s="25">
        <f>(Idc/Np)^2*B58/1000000+Piq</f>
        <v>1.8768870712902554</v>
      </c>
      <c r="C59" s="9" t="s">
        <v>74</v>
      </c>
      <c r="D59" s="9" t="s">
        <v>103</v>
      </c>
    </row>
    <row r="60" spans="2:24">
      <c r="B60" s="26">
        <f>B59*RTjb+Ta</f>
        <v>79.81533060693539</v>
      </c>
      <c r="C60" s="9" t="s">
        <v>23</v>
      </c>
      <c r="D60" s="9" t="s">
        <v>104</v>
      </c>
    </row>
    <row r="61" spans="2:24">
      <c r="B61" s="10"/>
    </row>
    <row r="62" spans="2:24">
      <c r="B62" s="9">
        <f>Idc/Np*B58</f>
        <v>36090.704492505305</v>
      </c>
      <c r="C62" s="9" t="s">
        <v>18</v>
      </c>
      <c r="D62" s="9" t="s">
        <v>145</v>
      </c>
    </row>
    <row r="63" spans="2:24">
      <c r="Q63" s="20" t="s">
        <v>89</v>
      </c>
    </row>
    <row r="64" spans="2:24">
      <c r="B64" s="9">
        <f>Rds0+RdsM*125</f>
        <v>896</v>
      </c>
      <c r="C64" s="9" t="s">
        <v>97</v>
      </c>
      <c r="D64" s="9" t="s">
        <v>137</v>
      </c>
    </row>
    <row r="65" spans="2:7">
      <c r="B65" s="24">
        <f>(Idc/Np)^2*B64/1000000+Piq</f>
        <v>2.067205369127517</v>
      </c>
      <c r="C65" s="9" t="s">
        <v>74</v>
      </c>
      <c r="D65" s="9" t="s">
        <v>138</v>
      </c>
    </row>
    <row r="66" spans="2:7">
      <c r="B66" s="9">
        <f>125-B65*RTjb</f>
        <v>121.89919194630872</v>
      </c>
      <c r="C66" s="9" t="s">
        <v>23</v>
      </c>
      <c r="D66" s="9" t="s">
        <v>136</v>
      </c>
      <c r="G66" s="11" t="s">
        <v>139</v>
      </c>
    </row>
  </sheetData>
  <sheetProtection algorithmName="SHA-512" hashValue="1On1K+UydUe7ZQq5yj92cWIHqjDo66+j3BK3XRx/GBiBGuWCH+JvonYbqt1QAePv5TxQSHgUVzbPCqKTz4J47w==" saltValue="VQl8WdsQ7CFC43R2PsT+5Q==" spinCount="100000" sheet="1" objects="1" scenarios="1" selectLockedCells="1" selectUnlockedCells="1"/>
  <mergeCells count="1">
    <mergeCell ref="T23:X24"/>
  </mergeCells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Front</vt:lpstr>
      <vt:lpstr>Calcs</vt:lpstr>
      <vt:lpstr>AVSS</vt:lpstr>
      <vt:lpstr>AVSS_hi</vt:lpstr>
      <vt:lpstr>AVSS_lo</vt:lpstr>
      <vt:lpstr>Cout</vt:lpstr>
      <vt:lpstr>Css</vt:lpstr>
      <vt:lpstr>ICL_lo</vt:lpstr>
      <vt:lpstr>Idc</vt:lpstr>
      <vt:lpstr>Ipk</vt:lpstr>
      <vt:lpstr>Iq</vt:lpstr>
      <vt:lpstr>ISR</vt:lpstr>
      <vt:lpstr>Iss</vt:lpstr>
      <vt:lpstr>Iss_hi</vt:lpstr>
      <vt:lpstr>Iss_lo</vt:lpstr>
      <vt:lpstr>Np</vt:lpstr>
      <vt:lpstr>Nr</vt:lpstr>
      <vt:lpstr>Piq</vt:lpstr>
      <vt:lpstr>Rds0</vt:lpstr>
      <vt:lpstr>RdsM</vt:lpstr>
      <vt:lpstr>RTjb</vt:lpstr>
      <vt:lpstr>SS_TO</vt:lpstr>
      <vt:lpstr>Ta</vt:lpstr>
      <vt:lpstr>Ta_max</vt:lpstr>
      <vt:lpstr>Tss_TO</vt:lpstr>
      <vt:lpstr>Tss_TO_lo</vt:lpstr>
      <vt:lpstr>Vin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 Jing Zhang</dc:creator>
  <dc:description/>
  <cp:lastModifiedBy>Nathan Barron</cp:lastModifiedBy>
  <cp:revision>7</cp:revision>
  <cp:lastPrinted>2023-09-14T18:51:41Z</cp:lastPrinted>
  <dcterms:created xsi:type="dcterms:W3CDTF">2021-12-01T02:19:35Z</dcterms:created>
  <dcterms:modified xsi:type="dcterms:W3CDTF">2024-09-18T17:41:22Z</dcterms:modified>
  <dc:language>zh-CN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